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HRADMIN\HRIS\Reference\Compensation\Dave's\Bargaining\UMFA\2021\Salary Calculator\"/>
    </mc:Choice>
  </mc:AlternateContent>
  <xr:revisionPtr revIDLastSave="0" documentId="13_ncr:1_{DC7D8975-42B1-47C2-BA9D-4881BBD318FA}" xr6:coauthVersionLast="46" xr6:coauthVersionMax="46" xr10:uidLastSave="{00000000-0000-0000-0000-000000000000}"/>
  <workbookProtection workbookAlgorithmName="SHA-512" workbookHashValue="ETiWZZALQ2ssVgFqOTkCjVyjHHint+jR8cF/jEGA1zvbhihyMV0uIzgBAFOCLjfFsl5pKubFKt5cnFEmKP5avQ==" workbookSaltValue="N6kDZHNFTfXfHkbESdMIeg==" workbookSpinCount="100000" lockStructure="1"/>
  <bookViews>
    <workbookView xWindow="28680" yWindow="-120" windowWidth="29040" windowHeight="15840" xr2:uid="{00000000-000D-0000-FFFF-FFFF00000000}"/>
  </bookViews>
  <sheets>
    <sheet name="Sheet1" sheetId="1" r:id="rId1"/>
    <sheet name="Sheet2" sheetId="2" r:id="rId2"/>
    <sheet name="Sheet3" sheetId="3" r:id="rId3"/>
    <sheet name="Sheet4"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 l="1"/>
  <c r="F13" i="4"/>
  <c r="F12" i="4"/>
  <c r="F11" i="4"/>
  <c r="F9" i="4"/>
  <c r="F8" i="4"/>
  <c r="F6" i="4"/>
  <c r="F5" i="4"/>
  <c r="F4" i="4"/>
  <c r="E13" i="4"/>
  <c r="H13" i="4" s="1"/>
  <c r="E12" i="4"/>
  <c r="H12" i="4" s="1"/>
  <c r="E11" i="4"/>
  <c r="H11" i="4" s="1"/>
  <c r="H10" i="4"/>
  <c r="E9" i="4"/>
  <c r="H9" i="4" s="1"/>
  <c r="E8" i="4"/>
  <c r="H8" i="4" s="1"/>
  <c r="H7" i="4"/>
  <c r="E6" i="4"/>
  <c r="H6" i="4" s="1"/>
  <c r="E5" i="4"/>
  <c r="H5" i="4" s="1"/>
  <c r="E4" i="4"/>
  <c r="H4" i="4" s="1"/>
  <c r="H3" i="4"/>
  <c r="K11" i="1"/>
  <c r="L11" i="1"/>
  <c r="L10" i="1"/>
  <c r="K10" i="1"/>
  <c r="J10" i="1"/>
  <c r="I11" i="1"/>
  <c r="I10" i="1"/>
  <c r="H11" i="1"/>
  <c r="H10" i="1"/>
  <c r="E4" i="3"/>
  <c r="H4" i="3" s="1"/>
  <c r="E5" i="3"/>
  <c r="H5" i="3" s="1"/>
  <c r="E6" i="3"/>
  <c r="H6" i="3" s="1"/>
  <c r="H7" i="3"/>
  <c r="E8" i="3"/>
  <c r="H8" i="3" s="1"/>
  <c r="E9" i="3"/>
  <c r="H9" i="3" s="1"/>
  <c r="E11" i="3"/>
  <c r="H11" i="3" s="1"/>
  <c r="E12" i="3"/>
  <c r="H12" i="3" s="1"/>
  <c r="E13" i="3"/>
  <c r="H13" i="3" s="1"/>
  <c r="H10" i="3"/>
  <c r="H3" i="3"/>
  <c r="D10" i="1"/>
  <c r="C19" i="1" s="1"/>
  <c r="J11" i="1" l="1"/>
  <c r="B11" i="1"/>
  <c r="B10" i="1"/>
  <c r="H5" i="2" l="1"/>
  <c r="H6" i="2"/>
  <c r="H7" i="2"/>
  <c r="H8" i="2"/>
  <c r="H9" i="2"/>
  <c r="H10" i="2"/>
  <c r="H11" i="2"/>
  <c r="H12" i="2"/>
  <c r="H13" i="2"/>
  <c r="H3" i="2"/>
  <c r="H4" i="2"/>
  <c r="E19" i="1" l="1"/>
  <c r="E10" i="1" s="1"/>
  <c r="F10" i="1" s="1"/>
  <c r="C11" i="1" l="1"/>
  <c r="D11" i="1" s="1"/>
  <c r="C20" i="1" s="1"/>
  <c r="E20" i="1" l="1"/>
  <c r="E11" i="1" s="1"/>
  <c r="F11" i="1" s="1"/>
  <c r="B17" i="1" s="1"/>
  <c r="C21" i="1" l="1"/>
  <c r="E21" i="1" l="1"/>
  <c r="C22" i="1" l="1"/>
  <c r="E22" i="1" l="1"/>
</calcChain>
</file>

<file path=xl/sharedStrings.xml><?xml version="1.0" encoding="utf-8"?>
<sst xmlns="http://schemas.openxmlformats.org/spreadsheetml/2006/main" count="70" uniqueCount="31">
  <si>
    <t>General Increase</t>
  </si>
  <si>
    <t>Increment</t>
  </si>
  <si>
    <t>New Base Salary</t>
  </si>
  <si>
    <t>Floor</t>
  </si>
  <si>
    <t>Threshold</t>
  </si>
  <si>
    <t>Job Rate</t>
  </si>
  <si>
    <t>Professor</t>
  </si>
  <si>
    <t>Assoc. Professor</t>
  </si>
  <si>
    <t>Asst. Professor</t>
  </si>
  <si>
    <t>Lecturer</t>
  </si>
  <si>
    <t>Sr Instructor</t>
  </si>
  <si>
    <t>Instructor II</t>
  </si>
  <si>
    <t>Instructor I</t>
  </si>
  <si>
    <t>Librarian</t>
  </si>
  <si>
    <t>Assoc Librarian</t>
  </si>
  <si>
    <t>Asst Librarian</t>
  </si>
  <si>
    <t>General Librarian</t>
  </si>
  <si>
    <t>Maximum</t>
  </si>
  <si>
    <t>Salary Date</t>
  </si>
  <si>
    <t>Salary Scales with Structural Revisions</t>
  </si>
  <si>
    <t>Across the Board General Increases</t>
  </si>
  <si>
    <t>ENTER RANK HERE</t>
  </si>
  <si>
    <t>ENTER SALARY HERE</t>
  </si>
  <si>
    <t>Year 1</t>
  </si>
  <si>
    <t>Year 2+</t>
  </si>
  <si>
    <t>This table shows the actual dollar increase for General Increases and satisfactory Performance Increments as well as what your new base salary would be for each year of the agreement.</t>
  </si>
  <si>
    <t>This table shows the revised salary scales after the structural revisions and General Increases are applied each year.</t>
  </si>
  <si>
    <t>Year 3+</t>
  </si>
  <si>
    <t>Market Adjustment</t>
  </si>
  <si>
    <t>** To use the salary calculator select your rank from the drop down list and then enter your March 31, 2021 salary in the Gold cells.  Once you've entered your rank and salary, the calculator will then show your projected salary in the Green cells based on the salary increases that have currently been proposed by the University for the life of a 2 year collective agreement.</t>
  </si>
  <si>
    <t>Total increase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</si>
</sst>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409]mmmm\ d\,\ yyyy;@"/>
    <numFmt numFmtId="165" formatCode="&quot;$&quot;#,##0.00"/>
    <numFmt numFmtId="166" formatCode="&quot;$&quot;#,##0"/>
  </numFmts>
  <fonts count="3" x14ac:knownFonts="1">
    <font>
      <sz val="11"/>
      <color theme="1"/>
      <name val="Calibri"/>
      <family val="2"/>
      <scheme val="minor"/>
    </font>
    <font>
      <b/>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0" fillId="2" borderId="0" xfId="0" applyFill="1" applyAlignment="1">
      <alignment horizontal="center"/>
    </xf>
    <xf numFmtId="165" fontId="0" fillId="2" borderId="0" xfId="0" applyNumberFormat="1" applyFill="1" applyAlignment="1">
      <alignment horizontal="center"/>
    </xf>
    <xf numFmtId="0" fontId="0" fillId="2" borderId="1" xfId="0" applyFill="1" applyBorder="1" applyAlignment="1">
      <alignment horizontal="center"/>
    </xf>
    <xf numFmtId="165" fontId="0" fillId="2" borderId="1" xfId="0" applyNumberFormat="1" applyFill="1" applyBorder="1" applyAlignment="1">
      <alignment horizontal="center"/>
    </xf>
    <xf numFmtId="164" fontId="0" fillId="2" borderId="1" xfId="0" applyNumberFormat="1" applyFill="1" applyBorder="1" applyAlignment="1">
      <alignment horizontal="center"/>
    </xf>
    <xf numFmtId="10" fontId="0" fillId="2" borderId="1" xfId="0" applyNumberFormat="1" applyFill="1" applyBorder="1" applyAlignment="1">
      <alignment horizontal="center"/>
    </xf>
    <xf numFmtId="0" fontId="0" fillId="3" borderId="1" xfId="0" applyFill="1" applyBorder="1" applyAlignment="1" applyProtection="1">
      <alignment horizontal="center"/>
      <protection locked="0"/>
    </xf>
    <xf numFmtId="165" fontId="0" fillId="3" borderId="1" xfId="0" applyNumberFormat="1" applyFill="1" applyBorder="1" applyAlignment="1" applyProtection="1">
      <alignment horizontal="center"/>
      <protection locked="0"/>
    </xf>
    <xf numFmtId="165" fontId="0" fillId="4" borderId="1" xfId="0" applyNumberFormat="1" applyFill="1" applyBorder="1" applyAlignment="1">
      <alignment horizontal="center"/>
    </xf>
    <xf numFmtId="0" fontId="1" fillId="5" borderId="1" xfId="0" applyFont="1" applyFill="1" applyBorder="1" applyAlignment="1">
      <alignment horizontal="center"/>
    </xf>
    <xf numFmtId="0" fontId="0" fillId="2" borderId="1" xfId="0" applyFill="1" applyBorder="1" applyAlignment="1">
      <alignment horizontal="center"/>
    </xf>
    <xf numFmtId="166" fontId="0" fillId="2" borderId="1" xfId="0" applyNumberFormat="1" applyFill="1" applyBorder="1" applyAlignment="1">
      <alignment horizontal="center"/>
    </xf>
    <xf numFmtId="0" fontId="2" fillId="0" borderId="0" xfId="0" applyFont="1"/>
    <xf numFmtId="0" fontId="0" fillId="2" borderId="1" xfId="0" applyFill="1" applyBorder="1" applyAlignment="1">
      <alignment horizontal="center"/>
    </xf>
    <xf numFmtId="6" fontId="2" fillId="0" borderId="0" xfId="0" applyNumberFormat="1" applyFont="1"/>
    <xf numFmtId="0" fontId="2" fillId="2" borderId="0" xfId="0" applyFont="1" applyFill="1" applyAlignment="1">
      <alignment horizontal="center"/>
    </xf>
    <xf numFmtId="0" fontId="2" fillId="2" borderId="0" xfId="0" applyFont="1" applyFill="1" applyBorder="1" applyAlignment="1">
      <alignment horizontal="center"/>
    </xf>
    <xf numFmtId="165" fontId="2" fillId="2" borderId="0" xfId="0" applyNumberFormat="1" applyFont="1" applyFill="1" applyAlignment="1">
      <alignment horizontal="center"/>
    </xf>
    <xf numFmtId="165" fontId="2" fillId="2" borderId="0" xfId="0" applyNumberFormat="1" applyFont="1"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0" fontId="1" fillId="2" borderId="1" xfId="0" applyNumberFormat="1" applyFont="1" applyFill="1" applyBorder="1" applyAlignment="1">
      <alignment horizontal="center"/>
    </xf>
    <xf numFmtId="0" fontId="1" fillId="6" borderId="1" xfId="0" applyFont="1" applyFill="1" applyBorder="1" applyAlignment="1">
      <alignment horizontal="center"/>
    </xf>
    <xf numFmtId="0" fontId="2" fillId="0" borderId="0" xfId="0" applyFont="1" applyFill="1"/>
    <xf numFmtId="6" fontId="2" fillId="0" borderId="0" xfId="0" applyNumberFormat="1" applyFont="1" applyFill="1"/>
  </cellXfs>
  <cellStyles count="1">
    <cellStyle name="Normal"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28"/>
  <sheetViews>
    <sheetView tabSelected="1" zoomScale="150" zoomScaleNormal="150" workbookViewId="0">
      <selection activeCell="C6" sqref="C6"/>
    </sheetView>
  </sheetViews>
  <sheetFormatPr defaultColWidth="9.140625" defaultRowHeight="15" x14ac:dyDescent="0.25"/>
  <cols>
    <col min="1" max="1" width="9.140625" style="1"/>
    <col min="2" max="2" width="18.7109375" style="1" customWidth="1"/>
    <col min="3" max="3" width="18.42578125" style="1" bestFit="1" customWidth="1"/>
    <col min="4" max="4" width="16.140625" style="1" bestFit="1" customWidth="1"/>
    <col min="5" max="5" width="15.5703125" style="1" bestFit="1" customWidth="1"/>
    <col min="6" max="6" width="14.85546875" style="1" bestFit="1" customWidth="1"/>
    <col min="7" max="7" width="6.42578125" style="16" customWidth="1"/>
    <col min="8" max="8" width="12.28515625" style="1" customWidth="1"/>
    <col min="9" max="9" width="10.28515625" style="1" bestFit="1" customWidth="1"/>
    <col min="10" max="10" width="11.140625" style="1" hidden="1" customWidth="1"/>
    <col min="11" max="11" width="10.28515625" style="1" hidden="1" customWidth="1"/>
    <col min="12" max="12" width="11.140625" style="1" bestFit="1" customWidth="1"/>
    <col min="13" max="16384" width="9.140625" style="1"/>
  </cols>
  <sheetData>
    <row r="2" spans="2:12" ht="15" customHeight="1" x14ac:dyDescent="0.25">
      <c r="B2" s="20" t="s">
        <v>20</v>
      </c>
      <c r="C2" s="20"/>
      <c r="D2" s="25" t="s">
        <v>29</v>
      </c>
      <c r="E2" s="25"/>
      <c r="F2" s="25"/>
      <c r="G2" s="25"/>
      <c r="H2" s="25"/>
      <c r="I2" s="25"/>
      <c r="J2" s="25"/>
      <c r="K2" s="25"/>
      <c r="L2" s="25"/>
    </row>
    <row r="3" spans="2:12" x14ac:dyDescent="0.25">
      <c r="B3" s="5">
        <v>44287</v>
      </c>
      <c r="C3" s="6">
        <v>1.2500000000000001E-2</v>
      </c>
      <c r="D3" s="25"/>
      <c r="E3" s="25"/>
      <c r="F3" s="25"/>
      <c r="G3" s="25"/>
      <c r="H3" s="25"/>
      <c r="I3" s="25"/>
      <c r="J3" s="25"/>
      <c r="K3" s="25"/>
      <c r="L3" s="25"/>
    </row>
    <row r="4" spans="2:12" x14ac:dyDescent="0.25">
      <c r="B4" s="5">
        <v>44652</v>
      </c>
      <c r="C4" s="6">
        <v>1.4999999999999999E-2</v>
      </c>
      <c r="D4" s="25"/>
      <c r="E4" s="25"/>
      <c r="F4" s="25"/>
      <c r="G4" s="25"/>
      <c r="H4" s="25"/>
      <c r="I4" s="25"/>
      <c r="J4" s="25"/>
      <c r="K4" s="25"/>
      <c r="L4" s="25"/>
    </row>
    <row r="5" spans="2:12" x14ac:dyDescent="0.25">
      <c r="D5" s="25"/>
      <c r="E5" s="25"/>
      <c r="F5" s="25"/>
      <c r="G5" s="25"/>
      <c r="H5" s="25"/>
      <c r="I5" s="25"/>
      <c r="J5" s="25"/>
      <c r="K5" s="25"/>
      <c r="L5" s="25"/>
    </row>
    <row r="6" spans="2:12" x14ac:dyDescent="0.25">
      <c r="B6" s="10" t="s">
        <v>21</v>
      </c>
      <c r="C6" s="7" t="s">
        <v>6</v>
      </c>
    </row>
    <row r="7" spans="2:12" x14ac:dyDescent="0.25">
      <c r="B7" s="10" t="s">
        <v>22</v>
      </c>
      <c r="C7" s="8">
        <v>150000</v>
      </c>
    </row>
    <row r="8" spans="2:12" x14ac:dyDescent="0.25">
      <c r="H8" s="20" t="s">
        <v>19</v>
      </c>
      <c r="I8" s="20"/>
      <c r="J8" s="20"/>
      <c r="K8" s="20"/>
      <c r="L8" s="20"/>
    </row>
    <row r="9" spans="2:12" x14ac:dyDescent="0.25">
      <c r="B9" s="3" t="s">
        <v>18</v>
      </c>
      <c r="C9" s="14" t="s">
        <v>28</v>
      </c>
      <c r="D9" s="11" t="s">
        <v>0</v>
      </c>
      <c r="E9" s="11" t="s">
        <v>1</v>
      </c>
      <c r="F9" s="11" t="s">
        <v>2</v>
      </c>
      <c r="G9" s="17"/>
      <c r="H9" s="3" t="s">
        <v>3</v>
      </c>
      <c r="I9" s="3" t="s">
        <v>1</v>
      </c>
      <c r="J9" s="3" t="s">
        <v>4</v>
      </c>
      <c r="K9" s="3" t="s">
        <v>1</v>
      </c>
      <c r="L9" s="3" t="s">
        <v>17</v>
      </c>
    </row>
    <row r="10" spans="2:12" x14ac:dyDescent="0.25">
      <c r="B10" s="5">
        <f>B3</f>
        <v>44287</v>
      </c>
      <c r="C10" s="4">
        <f>IF(J10&gt;C7,950,0)</f>
        <v>0</v>
      </c>
      <c r="D10" s="4">
        <f>C7*C3</f>
        <v>1875</v>
      </c>
      <c r="E10" s="4">
        <f>IF(C19&lt;J10,I10,IF(C19&gt;L10,0,IF(C19+K10&gt;L10,E19,K10)))</f>
        <v>4693</v>
      </c>
      <c r="F10" s="9">
        <f>C7++C10+D10+E10</f>
        <v>156568</v>
      </c>
      <c r="G10" s="19"/>
      <c r="H10" s="12">
        <f>VLOOKUP($C6,Sheet2!$A3:$G13,3,FALSE)</f>
        <v>112638</v>
      </c>
      <c r="I10" s="12">
        <f>VLOOKUP($C$6,Sheet2!$A3:$G13,4,FALSE)</f>
        <v>4693</v>
      </c>
      <c r="J10" s="12">
        <f>VLOOKUP($C6,Sheet2!$A3:$G13,5,FALSE)</f>
        <v>140361</v>
      </c>
      <c r="K10" s="12">
        <f>VLOOKUP($C6,Sheet2!$A3:$G13,6,FALSE)</f>
        <v>4693</v>
      </c>
      <c r="L10" s="12">
        <f>VLOOKUP($C6,Sheet2!$A3:$G13,7,FALSE)</f>
        <v>168957</v>
      </c>
    </row>
    <row r="11" spans="2:12" x14ac:dyDescent="0.25">
      <c r="B11" s="5">
        <f>B4</f>
        <v>44652</v>
      </c>
      <c r="C11" s="4">
        <f>IF(F10&lt;H11,H11-F10,0)</f>
        <v>0</v>
      </c>
      <c r="D11" s="4">
        <f>(F10+C11)*C4</f>
        <v>2348.52</v>
      </c>
      <c r="E11" s="4">
        <f>IF(C20&lt;J11,I11,IF(C20&gt;L11,0,IF(C20+K11&gt;L11,E20,K11)))</f>
        <v>4899</v>
      </c>
      <c r="F11" s="9">
        <f>D11+E11+F10+C11</f>
        <v>163815.51999999999</v>
      </c>
      <c r="G11" s="19"/>
      <c r="H11" s="12">
        <f>VLOOKUP($C6,Sheet3!$A3:$G13,3,FALSE)</f>
        <v>122500</v>
      </c>
      <c r="I11" s="12">
        <f>VLOOKUP($C$6,Sheet3!$A3:$G13,4,FALSE)</f>
        <v>4899</v>
      </c>
      <c r="J11" s="12">
        <f>VLOOKUP($C6,Sheet3!$A3:$G13,5,FALSE)</f>
        <v>151689</v>
      </c>
      <c r="K11" s="12">
        <f>VLOOKUP($C6,Sheet3!$A3:$G13,6,FALSE)</f>
        <v>4899</v>
      </c>
      <c r="L11" s="12">
        <f>VLOOKUP($C6,Sheet3!$A3:$G13,7,FALSE)</f>
        <v>171492</v>
      </c>
    </row>
    <row r="12" spans="2:12" ht="14.45" customHeight="1" x14ac:dyDescent="0.25">
      <c r="B12" s="21" t="s">
        <v>25</v>
      </c>
      <c r="C12" s="22"/>
      <c r="D12" s="22"/>
      <c r="E12" s="22"/>
      <c r="F12" s="23"/>
      <c r="H12" s="21" t="s">
        <v>26</v>
      </c>
      <c r="I12" s="22"/>
      <c r="J12" s="22"/>
      <c r="K12" s="22"/>
      <c r="L12" s="23"/>
    </row>
    <row r="13" spans="2:12" x14ac:dyDescent="0.25">
      <c r="B13" s="24"/>
      <c r="C13" s="25"/>
      <c r="D13" s="25"/>
      <c r="E13" s="25"/>
      <c r="F13" s="26"/>
      <c r="H13" s="24"/>
      <c r="I13" s="25"/>
      <c r="J13" s="25"/>
      <c r="K13" s="25"/>
      <c r="L13" s="26"/>
    </row>
    <row r="14" spans="2:12" ht="30" customHeight="1" x14ac:dyDescent="0.25">
      <c r="B14" s="27"/>
      <c r="C14" s="28"/>
      <c r="D14" s="28"/>
      <c r="E14" s="28"/>
      <c r="F14" s="29"/>
      <c r="H14" s="27"/>
      <c r="I14" s="28"/>
      <c r="J14" s="28"/>
      <c r="K14" s="28"/>
      <c r="L14" s="29"/>
    </row>
    <row r="16" spans="2:12" x14ac:dyDescent="0.25">
      <c r="B16" s="31" t="s">
        <v>30</v>
      </c>
      <c r="C16" s="31"/>
    </row>
    <row r="17" spans="2:7" x14ac:dyDescent="0.25">
      <c r="B17" s="30">
        <f>(F11/C7)-1</f>
        <v>9.2103466666666689E-2</v>
      </c>
      <c r="C17" s="30"/>
    </row>
    <row r="19" spans="2:7" hidden="1" x14ac:dyDescent="0.25">
      <c r="C19" s="2">
        <f>C7+D10</f>
        <v>151875</v>
      </c>
      <c r="E19" s="2">
        <f>L10-C19</f>
        <v>17082</v>
      </c>
    </row>
    <row r="20" spans="2:7" hidden="1" x14ac:dyDescent="0.25">
      <c r="C20" s="2">
        <f>F10+D11</f>
        <v>158916.51999999999</v>
      </c>
      <c r="E20" s="2">
        <f>L11-C20</f>
        <v>12575.48000000001</v>
      </c>
    </row>
    <row r="21" spans="2:7" hidden="1" x14ac:dyDescent="0.25">
      <c r="C21" s="2" t="e">
        <f>F11+#REF!</f>
        <v>#REF!</v>
      </c>
      <c r="E21" s="2" t="e">
        <f>#REF!-C21</f>
        <v>#REF!</v>
      </c>
    </row>
    <row r="22" spans="2:7" hidden="1" x14ac:dyDescent="0.25">
      <c r="C22" s="2" t="e">
        <f>#REF!+#REF!</f>
        <v>#REF!</v>
      </c>
      <c r="E22" s="2" t="e">
        <f>#REF!-C22</f>
        <v>#REF!</v>
      </c>
    </row>
    <row r="28" spans="2:7" x14ac:dyDescent="0.25">
      <c r="F28" s="2"/>
      <c r="G28" s="18"/>
    </row>
  </sheetData>
  <sheetProtection algorithmName="SHA-512" hashValue="O6gmGOs5pdW7xShWZ76Rm8gYk8MUV4WZTc63l063h0cOL1r5SBfPTMg7L5ZKsVB3481BXceC/nu4CVrTZJDCHw==" saltValue="pjnt0AM/JEdAZasEc+V89Q==" spinCount="100000" sheet="1" selectLockedCells="1"/>
  <protectedRanges>
    <protectedRange sqref="C6:C7" name="Range1"/>
  </protectedRanges>
  <mergeCells count="7">
    <mergeCell ref="B16:C16"/>
    <mergeCell ref="B17:C17"/>
    <mergeCell ref="H8:L8"/>
    <mergeCell ref="B2:C2"/>
    <mergeCell ref="H12:L14"/>
    <mergeCell ref="D2:L5"/>
    <mergeCell ref="B12:F14"/>
  </mergeCells>
  <conditionalFormatting sqref="J9:K11">
    <cfRule type="expression" dxfId="7" priority="1">
      <formula>$C$6="General Librarian"</formula>
    </cfRule>
    <cfRule type="expression" dxfId="6" priority="2">
      <formula>$C$6="Asst Librarian"</formula>
    </cfRule>
    <cfRule type="expression" dxfId="5" priority="3">
      <formula>$C$6="Assoc Librarian"</formula>
    </cfRule>
    <cfRule type="expression" dxfId="4" priority="4">
      <formula>$C$6="Instructor I"</formula>
    </cfRule>
    <cfRule type="expression" dxfId="3" priority="5">
      <formula>$C$6="Instructor II"</formula>
    </cfRule>
    <cfRule type="expression" dxfId="2" priority="6">
      <formula>$C$6="Lecturer"</formula>
    </cfRule>
    <cfRule type="expression" dxfId="1" priority="7">
      <formula>$C$6="Assoc. Professor"</formula>
    </cfRule>
    <cfRule type="expression" dxfId="0" priority="8">
      <formula>$C$6="Asst. Professor"</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Sheet2!$A$3:$A$13</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
  <sheetViews>
    <sheetView workbookViewId="0"/>
  </sheetViews>
  <sheetFormatPr defaultColWidth="8.7109375" defaultRowHeight="15" x14ac:dyDescent="0.25"/>
  <cols>
    <col min="1" max="2" width="8.7109375" style="13"/>
    <col min="3" max="3" width="9.28515625" style="13" bestFit="1" customWidth="1"/>
    <col min="4" max="6" width="9" style="13" bestFit="1" customWidth="1"/>
    <col min="7" max="7" width="9.28515625" style="13" bestFit="1" customWidth="1"/>
    <col min="8" max="10" width="9" style="13" bestFit="1" customWidth="1"/>
    <col min="11" max="16384" width="8.7109375" style="13"/>
  </cols>
  <sheetData>
    <row r="1" spans="1:10" x14ac:dyDescent="0.25">
      <c r="A1" s="13" t="s">
        <v>23</v>
      </c>
    </row>
    <row r="2" spans="1:10" x14ac:dyDescent="0.25">
      <c r="C2" s="13" t="s">
        <v>3</v>
      </c>
      <c r="D2" s="13" t="s">
        <v>1</v>
      </c>
      <c r="E2" s="13" t="s">
        <v>4</v>
      </c>
      <c r="F2" s="13" t="s">
        <v>1</v>
      </c>
      <c r="G2" s="13" t="s">
        <v>5</v>
      </c>
    </row>
    <row r="3" spans="1:10" x14ac:dyDescent="0.25">
      <c r="A3" s="13" t="s">
        <v>6</v>
      </c>
      <c r="C3" s="15">
        <v>112638</v>
      </c>
      <c r="D3" s="15">
        <v>4693</v>
      </c>
      <c r="E3" s="13">
        <v>140361</v>
      </c>
      <c r="F3" s="15">
        <v>4693</v>
      </c>
      <c r="G3" s="15">
        <v>168957</v>
      </c>
      <c r="H3" s="13">
        <f>IF(Sheet1!C$7&lt;E3,Sheet2!I3,0)</f>
        <v>0</v>
      </c>
      <c r="I3" s="13">
        <v>0</v>
      </c>
      <c r="J3" s="13">
        <v>0</v>
      </c>
    </row>
    <row r="4" spans="1:10" x14ac:dyDescent="0.25">
      <c r="A4" s="13" t="s">
        <v>7</v>
      </c>
      <c r="C4" s="15">
        <v>91733</v>
      </c>
      <c r="D4" s="15">
        <v>3822</v>
      </c>
      <c r="E4" s="13">
        <v>114309</v>
      </c>
      <c r="F4" s="15">
        <v>3822</v>
      </c>
      <c r="G4" s="15">
        <v>137599</v>
      </c>
      <c r="H4" s="13">
        <f>IF(Sheet1!C$7&lt;E4,Sheet2!I4,0)</f>
        <v>0</v>
      </c>
      <c r="I4" s="13">
        <v>1500</v>
      </c>
      <c r="J4" s="13">
        <v>0</v>
      </c>
    </row>
    <row r="5" spans="1:10" x14ac:dyDescent="0.25">
      <c r="A5" s="13" t="s">
        <v>8</v>
      </c>
      <c r="C5" s="15">
        <v>76325</v>
      </c>
      <c r="D5" s="15">
        <v>3180</v>
      </c>
      <c r="E5" s="13">
        <v>97386</v>
      </c>
      <c r="F5" s="15">
        <v>3180</v>
      </c>
      <c r="G5" s="15">
        <v>114488</v>
      </c>
      <c r="H5" s="13">
        <f>IF(Sheet1!C$7&lt;E5,Sheet2!I5,0)</f>
        <v>0</v>
      </c>
      <c r="I5" s="13">
        <v>1500</v>
      </c>
      <c r="J5" s="13">
        <v>0</v>
      </c>
    </row>
    <row r="6" spans="1:10" x14ac:dyDescent="0.25">
      <c r="A6" s="13" t="s">
        <v>9</v>
      </c>
      <c r="C6" s="15">
        <v>60921</v>
      </c>
      <c r="D6" s="15">
        <v>2593</v>
      </c>
      <c r="E6" s="13">
        <v>77731</v>
      </c>
      <c r="F6" s="15">
        <v>2593</v>
      </c>
      <c r="G6" s="15">
        <v>91383</v>
      </c>
      <c r="H6" s="13">
        <f>IF(Sheet1!C$7&lt;E6,Sheet2!I6,0)</f>
        <v>0</v>
      </c>
      <c r="I6" s="13">
        <v>1500</v>
      </c>
      <c r="J6" s="13">
        <v>0</v>
      </c>
    </row>
    <row r="7" spans="1:10" x14ac:dyDescent="0.25">
      <c r="A7" s="13" t="s">
        <v>10</v>
      </c>
      <c r="C7" s="15">
        <v>88040</v>
      </c>
      <c r="D7" s="15">
        <v>3668</v>
      </c>
      <c r="E7" s="13">
        <v>99501</v>
      </c>
      <c r="F7" s="15">
        <v>3668</v>
      </c>
      <c r="G7" s="15">
        <v>132059</v>
      </c>
      <c r="H7" s="13">
        <f>IF(Sheet1!C$7&lt;E7,Sheet2!I7,0)</f>
        <v>0</v>
      </c>
      <c r="I7" s="13">
        <v>0</v>
      </c>
      <c r="J7" s="13">
        <v>0</v>
      </c>
    </row>
    <row r="8" spans="1:10" x14ac:dyDescent="0.25">
      <c r="A8" s="13" t="s">
        <v>11</v>
      </c>
      <c r="C8" s="15">
        <v>73366</v>
      </c>
      <c r="D8" s="15">
        <v>3057</v>
      </c>
      <c r="E8" s="13">
        <v>91423</v>
      </c>
      <c r="F8" s="15">
        <v>3057</v>
      </c>
      <c r="G8" s="15">
        <v>110050</v>
      </c>
      <c r="H8" s="13">
        <f>IF(Sheet1!C$7&lt;E8,Sheet2!I8,0)</f>
        <v>0</v>
      </c>
      <c r="I8" s="13">
        <v>1500</v>
      </c>
      <c r="J8" s="13">
        <v>0</v>
      </c>
    </row>
    <row r="9" spans="1:10" x14ac:dyDescent="0.25">
      <c r="A9" s="13" t="s">
        <v>12</v>
      </c>
      <c r="C9" s="15">
        <v>62230</v>
      </c>
      <c r="D9" s="15">
        <v>2593</v>
      </c>
      <c r="E9" s="13">
        <v>79401</v>
      </c>
      <c r="F9" s="15">
        <v>2593</v>
      </c>
      <c r="G9" s="15">
        <v>93346</v>
      </c>
      <c r="H9" s="13">
        <f>IF(Sheet1!C$7&lt;E9,Sheet2!I9,0)</f>
        <v>0</v>
      </c>
      <c r="I9" s="13">
        <v>1500</v>
      </c>
      <c r="J9" s="13">
        <v>0</v>
      </c>
    </row>
    <row r="10" spans="1:10" x14ac:dyDescent="0.25">
      <c r="A10" s="13" t="s">
        <v>13</v>
      </c>
      <c r="C10" s="15">
        <v>97838</v>
      </c>
      <c r="D10" s="15">
        <v>4308</v>
      </c>
      <c r="E10" s="13">
        <v>128841</v>
      </c>
      <c r="F10" s="15">
        <v>4308</v>
      </c>
      <c r="G10" s="15">
        <v>155090</v>
      </c>
      <c r="H10" s="13">
        <f>IF(Sheet1!C$7&lt;E10,Sheet2!I10,0)</f>
        <v>0</v>
      </c>
      <c r="I10" s="13">
        <v>0</v>
      </c>
      <c r="J10" s="13">
        <v>0</v>
      </c>
    </row>
    <row r="11" spans="1:10" x14ac:dyDescent="0.25">
      <c r="A11" s="13" t="s">
        <v>14</v>
      </c>
      <c r="C11" s="15">
        <v>82617</v>
      </c>
      <c r="D11" s="15">
        <v>3442</v>
      </c>
      <c r="E11" s="13">
        <v>102949</v>
      </c>
      <c r="F11" s="15">
        <v>3442</v>
      </c>
      <c r="G11" s="15">
        <v>123925</v>
      </c>
      <c r="H11" s="13">
        <f>IF(Sheet1!C$7&lt;E11,Sheet2!I11,0)</f>
        <v>0</v>
      </c>
      <c r="I11" s="13">
        <v>0</v>
      </c>
      <c r="J11" s="13">
        <v>0</v>
      </c>
    </row>
    <row r="12" spans="1:10" x14ac:dyDescent="0.25">
      <c r="A12" s="13" t="s">
        <v>15</v>
      </c>
      <c r="C12" s="15">
        <v>70002</v>
      </c>
      <c r="D12" s="15">
        <v>2917</v>
      </c>
      <c r="E12" s="13">
        <v>89316</v>
      </c>
      <c r="F12" s="15">
        <v>2917</v>
      </c>
      <c r="G12" s="15">
        <v>105004</v>
      </c>
      <c r="H12" s="13">
        <f>IF(Sheet1!C$7&lt;E12,Sheet2!I12,0)</f>
        <v>0</v>
      </c>
      <c r="I12" s="13">
        <v>1500</v>
      </c>
      <c r="J12" s="13">
        <v>0</v>
      </c>
    </row>
    <row r="13" spans="1:10" x14ac:dyDescent="0.25">
      <c r="A13" s="13" t="s">
        <v>16</v>
      </c>
      <c r="C13" s="15">
        <v>60779</v>
      </c>
      <c r="D13" s="15">
        <v>2532</v>
      </c>
      <c r="E13" s="13">
        <v>77550</v>
      </c>
      <c r="F13" s="15">
        <v>2532</v>
      </c>
      <c r="G13" s="15">
        <v>91169</v>
      </c>
      <c r="H13" s="13">
        <f>IF(Sheet1!C$7&lt;E13,Sheet2!I13,0)</f>
        <v>0</v>
      </c>
      <c r="I13" s="13">
        <v>1500</v>
      </c>
      <c r="J13" s="13">
        <v>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ED2FA-4C73-4D6F-986E-C1EF81FECAB1}">
  <dimension ref="A1:J13"/>
  <sheetViews>
    <sheetView workbookViewId="0">
      <selection activeCell="F13" sqref="F13"/>
    </sheetView>
  </sheetViews>
  <sheetFormatPr defaultColWidth="8.7109375" defaultRowHeight="15" x14ac:dyDescent="0.25"/>
  <cols>
    <col min="1" max="2" width="8.7109375" style="32"/>
    <col min="3" max="3" width="9.28515625" style="32" bestFit="1" customWidth="1"/>
    <col min="4" max="4" width="9" style="32" bestFit="1" customWidth="1"/>
    <col min="5" max="5" width="9.28515625" style="32" bestFit="1" customWidth="1"/>
    <col min="6" max="6" width="9" style="32" bestFit="1" customWidth="1"/>
    <col min="7" max="7" width="9.28515625" style="32" bestFit="1" customWidth="1"/>
    <col min="8" max="10" width="9" style="32" bestFit="1" customWidth="1"/>
    <col min="11" max="16384" width="8.7109375" style="32"/>
  </cols>
  <sheetData>
    <row r="1" spans="1:10" x14ac:dyDescent="0.25">
      <c r="A1" s="32" t="s">
        <v>24</v>
      </c>
    </row>
    <row r="2" spans="1:10" x14ac:dyDescent="0.25">
      <c r="C2" s="32" t="s">
        <v>3</v>
      </c>
      <c r="D2" s="32" t="s">
        <v>1</v>
      </c>
      <c r="E2" s="32" t="s">
        <v>4</v>
      </c>
      <c r="F2" s="32" t="s">
        <v>1</v>
      </c>
      <c r="G2" s="32" t="s">
        <v>5</v>
      </c>
    </row>
    <row r="3" spans="1:10" x14ac:dyDescent="0.25">
      <c r="A3" s="32" t="s">
        <v>6</v>
      </c>
      <c r="C3" s="33">
        <v>122500</v>
      </c>
      <c r="D3" s="33">
        <v>4899</v>
      </c>
      <c r="E3" s="32">
        <v>151689</v>
      </c>
      <c r="F3" s="33">
        <v>4899</v>
      </c>
      <c r="G3" s="33">
        <v>171492</v>
      </c>
      <c r="H3" s="32">
        <f>IF(Sheet1!C$7&lt;E3,Sheet2!I3,0)</f>
        <v>0</v>
      </c>
      <c r="I3" s="32">
        <v>0</v>
      </c>
      <c r="J3" s="32">
        <v>0</v>
      </c>
    </row>
    <row r="4" spans="1:10" x14ac:dyDescent="0.25">
      <c r="A4" s="32" t="s">
        <v>7</v>
      </c>
      <c r="C4" s="33">
        <v>99765</v>
      </c>
      <c r="D4" s="33">
        <v>3990</v>
      </c>
      <c r="E4" s="32">
        <f>ROUND(Sheet2!E4*(1+Sheet1!$C$3),0)</f>
        <v>115738</v>
      </c>
      <c r="F4" s="33">
        <v>3990</v>
      </c>
      <c r="G4" s="33">
        <v>139663</v>
      </c>
      <c r="H4" s="32">
        <f>IF(Sheet1!C$7&lt;E4,Sheet2!I4,0)</f>
        <v>0</v>
      </c>
      <c r="I4" s="32">
        <v>1500</v>
      </c>
      <c r="J4" s="32">
        <v>0</v>
      </c>
    </row>
    <row r="5" spans="1:10" x14ac:dyDescent="0.25">
      <c r="A5" s="32" t="s">
        <v>8</v>
      </c>
      <c r="C5" s="33">
        <v>83008</v>
      </c>
      <c r="D5" s="33">
        <v>3320</v>
      </c>
      <c r="E5" s="32">
        <f>ROUND(Sheet2!E5*(1+Sheet1!$C$3),0)</f>
        <v>98603</v>
      </c>
      <c r="F5" s="33">
        <v>3320</v>
      </c>
      <c r="G5" s="33">
        <v>116205</v>
      </c>
      <c r="H5" s="32">
        <f>IF(Sheet1!C$7&lt;E5,Sheet2!I5,0)</f>
        <v>0</v>
      </c>
      <c r="I5" s="32">
        <v>1500</v>
      </c>
      <c r="J5" s="32">
        <v>0</v>
      </c>
    </row>
    <row r="6" spans="1:10" x14ac:dyDescent="0.25">
      <c r="A6" s="32" t="s">
        <v>9</v>
      </c>
      <c r="C6" s="33">
        <v>66256</v>
      </c>
      <c r="D6" s="33">
        <v>2650</v>
      </c>
      <c r="E6" s="32">
        <f>ROUND(Sheet2!E6*(1+Sheet1!$C$3),0)</f>
        <v>78703</v>
      </c>
      <c r="F6" s="33">
        <v>2650</v>
      </c>
      <c r="G6" s="33">
        <v>92754</v>
      </c>
      <c r="H6" s="32">
        <f>IF(Sheet1!C$7&lt;E6,Sheet2!I6,0)</f>
        <v>0</v>
      </c>
      <c r="I6" s="32">
        <v>1500</v>
      </c>
      <c r="J6" s="32">
        <v>0</v>
      </c>
    </row>
    <row r="7" spans="1:10" x14ac:dyDescent="0.25">
      <c r="A7" s="32" t="s">
        <v>10</v>
      </c>
      <c r="C7" s="33">
        <v>95748</v>
      </c>
      <c r="D7" s="33">
        <v>3829</v>
      </c>
      <c r="E7" s="33">
        <v>108063</v>
      </c>
      <c r="F7" s="33">
        <v>3829</v>
      </c>
      <c r="G7" s="33">
        <v>134040</v>
      </c>
      <c r="H7" s="32">
        <f>IF(Sheet1!C$7&lt;E7,Sheet2!I7,0)</f>
        <v>0</v>
      </c>
      <c r="I7" s="32">
        <v>0</v>
      </c>
      <c r="J7" s="32">
        <v>0</v>
      </c>
    </row>
    <row r="8" spans="1:10" x14ac:dyDescent="0.25">
      <c r="A8" s="32" t="s">
        <v>11</v>
      </c>
      <c r="C8" s="33">
        <v>79790</v>
      </c>
      <c r="D8" s="33">
        <v>3191</v>
      </c>
      <c r="E8" s="32">
        <f>ROUND(Sheet2!E8*(1+Sheet1!$C$3),0)</f>
        <v>92566</v>
      </c>
      <c r="F8" s="33">
        <v>3191</v>
      </c>
      <c r="G8" s="33">
        <v>111700</v>
      </c>
      <c r="H8" s="32">
        <f>IF(Sheet1!C$7&lt;E8,Sheet2!I8,0)</f>
        <v>0</v>
      </c>
      <c r="I8" s="32">
        <v>1500</v>
      </c>
      <c r="J8" s="32">
        <v>0</v>
      </c>
    </row>
    <row r="9" spans="1:10" x14ac:dyDescent="0.25">
      <c r="A9" s="32" t="s">
        <v>12</v>
      </c>
      <c r="C9" s="33">
        <v>67679</v>
      </c>
      <c r="D9" s="33">
        <v>2707</v>
      </c>
      <c r="E9" s="32">
        <f>ROUND(Sheet2!E9*(1+Sheet1!$C$3),0)</f>
        <v>80394</v>
      </c>
      <c r="F9" s="33">
        <v>2707</v>
      </c>
      <c r="G9" s="33">
        <v>94746</v>
      </c>
      <c r="H9" s="32">
        <f>IF(Sheet1!C$7&lt;E9,Sheet2!I9,0)</f>
        <v>0</v>
      </c>
      <c r="I9" s="32">
        <v>1500</v>
      </c>
      <c r="J9" s="32">
        <v>0</v>
      </c>
    </row>
    <row r="10" spans="1:10" x14ac:dyDescent="0.25">
      <c r="A10" s="32" t="s">
        <v>13</v>
      </c>
      <c r="C10" s="33">
        <v>112447</v>
      </c>
      <c r="D10" s="33">
        <v>4497</v>
      </c>
      <c r="E10" s="33">
        <v>139584</v>
      </c>
      <c r="F10" s="33">
        <v>4497</v>
      </c>
      <c r="G10" s="33">
        <v>157416</v>
      </c>
      <c r="H10" s="32">
        <f>IF(Sheet1!C$7&lt;E10,Sheet2!I10,0)</f>
        <v>0</v>
      </c>
      <c r="I10" s="32">
        <v>0</v>
      </c>
      <c r="J10" s="32">
        <v>0</v>
      </c>
    </row>
    <row r="11" spans="1:10" x14ac:dyDescent="0.25">
      <c r="A11" s="32" t="s">
        <v>14</v>
      </c>
      <c r="C11" s="33">
        <v>89850</v>
      </c>
      <c r="D11" s="33">
        <v>3593</v>
      </c>
      <c r="E11" s="32">
        <f>ROUND(Sheet2!E11*(1+Sheet1!$C$3),0)</f>
        <v>104236</v>
      </c>
      <c r="F11" s="33">
        <v>3593</v>
      </c>
      <c r="G11" s="33">
        <v>125784</v>
      </c>
      <c r="H11" s="32">
        <f>IF(Sheet1!C$7&lt;E11,Sheet2!I11,0)</f>
        <v>0</v>
      </c>
      <c r="I11" s="32">
        <v>0</v>
      </c>
      <c r="J11" s="32">
        <v>0</v>
      </c>
    </row>
    <row r="12" spans="1:10" x14ac:dyDescent="0.25">
      <c r="A12" s="32" t="s">
        <v>15</v>
      </c>
      <c r="C12" s="33">
        <v>76132</v>
      </c>
      <c r="D12" s="33">
        <v>3045</v>
      </c>
      <c r="E12" s="32">
        <f>ROUND(Sheet2!E12*(1+Sheet1!$C$3),0)</f>
        <v>90432</v>
      </c>
      <c r="F12" s="33">
        <v>3045</v>
      </c>
      <c r="G12" s="33">
        <v>106579</v>
      </c>
      <c r="H12" s="32">
        <f>IF(Sheet1!C$7&lt;E12,Sheet2!I12,0)</f>
        <v>0</v>
      </c>
      <c r="I12" s="32">
        <v>1500</v>
      </c>
      <c r="J12" s="32">
        <v>0</v>
      </c>
    </row>
    <row r="13" spans="1:10" x14ac:dyDescent="0.25">
      <c r="A13" s="32" t="s">
        <v>16</v>
      </c>
      <c r="C13" s="33">
        <v>66101</v>
      </c>
      <c r="D13" s="33">
        <v>2644</v>
      </c>
      <c r="E13" s="32">
        <f>ROUND(Sheet2!E13*(1+Sheet1!$C$3),0)</f>
        <v>78519</v>
      </c>
      <c r="F13" s="33">
        <v>2644</v>
      </c>
      <c r="G13" s="33">
        <v>92536</v>
      </c>
      <c r="H13" s="32">
        <f>IF(Sheet1!C$7&lt;E13,Sheet2!I13,0)</f>
        <v>0</v>
      </c>
      <c r="I13" s="32">
        <v>1500</v>
      </c>
      <c r="J13" s="32">
        <v>0</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CC61-8863-4DCE-A5EF-8904B9A5DAC1}">
  <dimension ref="A1:J13"/>
  <sheetViews>
    <sheetView workbookViewId="0"/>
  </sheetViews>
  <sheetFormatPr defaultColWidth="8.7109375" defaultRowHeight="15" x14ac:dyDescent="0.25"/>
  <cols>
    <col min="1" max="2" width="8.7109375" style="13"/>
    <col min="3" max="10" width="8.85546875" style="13" bestFit="1" customWidth="1"/>
    <col min="11" max="16384" width="8.7109375" style="13"/>
  </cols>
  <sheetData>
    <row r="1" spans="1:10" x14ac:dyDescent="0.25">
      <c r="A1" s="13" t="s">
        <v>27</v>
      </c>
    </row>
    <row r="2" spans="1:10" x14ac:dyDescent="0.25">
      <c r="C2" s="13" t="s">
        <v>3</v>
      </c>
      <c r="D2" s="13" t="s">
        <v>1</v>
      </c>
      <c r="E2" s="13" t="s">
        <v>4</v>
      </c>
      <c r="F2" s="13" t="s">
        <v>1</v>
      </c>
      <c r="G2" s="13" t="s">
        <v>5</v>
      </c>
    </row>
    <row r="3" spans="1:10" x14ac:dyDescent="0.25">
      <c r="A3" s="13" t="s">
        <v>6</v>
      </c>
      <c r="C3" s="15">
        <v>115757</v>
      </c>
      <c r="D3" s="15">
        <v>4888</v>
      </c>
      <c r="E3" s="15">
        <v>154345</v>
      </c>
      <c r="F3" s="15">
        <v>3816</v>
      </c>
      <c r="G3" s="15">
        <v>173635</v>
      </c>
      <c r="H3" s="13">
        <f>IF(Sheet1!C$7&lt;E3,Sheet2!I3,0)</f>
        <v>0</v>
      </c>
      <c r="I3" s="13">
        <v>0</v>
      </c>
      <c r="J3" s="13">
        <v>0</v>
      </c>
    </row>
    <row r="4" spans="1:10" x14ac:dyDescent="0.25">
      <c r="A4" s="13" t="s">
        <v>7</v>
      </c>
      <c r="C4" s="15">
        <v>94506</v>
      </c>
      <c r="D4" s="15">
        <v>4099</v>
      </c>
      <c r="E4" s="13">
        <f>ROUND(Sheet2!E4*(1+Sheet1!$C$3),0)</f>
        <v>115738</v>
      </c>
      <c r="F4" s="15">
        <f>D4</f>
        <v>4099</v>
      </c>
      <c r="G4" s="15">
        <v>141758</v>
      </c>
      <c r="H4" s="13">
        <f>IF(Sheet1!C$7&lt;E4,Sheet2!I4,0)</f>
        <v>0</v>
      </c>
      <c r="I4" s="13">
        <v>1500</v>
      </c>
      <c r="J4" s="13">
        <v>0</v>
      </c>
    </row>
    <row r="5" spans="1:10" x14ac:dyDescent="0.25">
      <c r="A5" s="13" t="s">
        <v>8</v>
      </c>
      <c r="C5" s="15">
        <v>78632</v>
      </c>
      <c r="D5" s="15">
        <v>3512</v>
      </c>
      <c r="E5" s="13">
        <f>ROUND(Sheet2!E5*(1+Sheet1!$C$3),0)</f>
        <v>98603</v>
      </c>
      <c r="F5" s="15">
        <f>D5</f>
        <v>3512</v>
      </c>
      <c r="G5" s="15">
        <v>117948</v>
      </c>
      <c r="H5" s="13">
        <f>IF(Sheet1!C$7&lt;E5,Sheet2!I5,0)</f>
        <v>0</v>
      </c>
      <c r="I5" s="13">
        <v>1500</v>
      </c>
      <c r="J5" s="13">
        <v>0</v>
      </c>
    </row>
    <row r="6" spans="1:10" x14ac:dyDescent="0.25">
      <c r="A6" s="13" t="s">
        <v>9</v>
      </c>
      <c r="C6" s="15">
        <v>62763</v>
      </c>
      <c r="D6" s="15">
        <v>2924</v>
      </c>
      <c r="E6" s="13">
        <f>ROUND(Sheet2!E6*(1+Sheet1!$C$3),0)</f>
        <v>78703</v>
      </c>
      <c r="F6" s="15">
        <f>D6</f>
        <v>2924</v>
      </c>
      <c r="G6" s="15">
        <v>94145</v>
      </c>
      <c r="H6" s="13">
        <f>IF(Sheet1!C$7&lt;E6,Sheet2!I6,0)</f>
        <v>0</v>
      </c>
      <c r="I6" s="13">
        <v>1500</v>
      </c>
      <c r="J6" s="13">
        <v>0</v>
      </c>
    </row>
    <row r="7" spans="1:10" x14ac:dyDescent="0.25">
      <c r="A7" s="13" t="s">
        <v>10</v>
      </c>
      <c r="C7" s="15">
        <v>82265</v>
      </c>
      <c r="D7" s="15">
        <v>3645</v>
      </c>
      <c r="E7" s="15">
        <v>109684</v>
      </c>
      <c r="F7" s="15">
        <v>2885</v>
      </c>
      <c r="G7" s="15">
        <v>123396</v>
      </c>
      <c r="H7" s="13">
        <f>IF(Sheet1!C$7&lt;E7,Sheet2!I7,0)</f>
        <v>0</v>
      </c>
      <c r="I7" s="13">
        <v>0</v>
      </c>
      <c r="J7" s="13">
        <v>0</v>
      </c>
    </row>
    <row r="8" spans="1:10" x14ac:dyDescent="0.25">
      <c r="A8" s="13" t="s">
        <v>11</v>
      </c>
      <c r="C8" s="15">
        <v>75583</v>
      </c>
      <c r="D8" s="15">
        <v>3400</v>
      </c>
      <c r="E8" s="13">
        <f>ROUND(Sheet2!E8*(1+Sheet1!$C$3),0)</f>
        <v>92566</v>
      </c>
      <c r="F8" s="13">
        <f>D8</f>
        <v>3400</v>
      </c>
      <c r="G8" s="15">
        <v>113377</v>
      </c>
      <c r="H8" s="13">
        <f>IF(Sheet1!C$7&lt;E8,Sheet2!I8,0)</f>
        <v>0</v>
      </c>
      <c r="I8" s="13">
        <v>1500</v>
      </c>
      <c r="J8" s="13">
        <v>0</v>
      </c>
    </row>
    <row r="9" spans="1:10" x14ac:dyDescent="0.25">
      <c r="A9" s="13" t="s">
        <v>12</v>
      </c>
      <c r="C9" s="15">
        <v>64110</v>
      </c>
      <c r="D9" s="15">
        <v>2975</v>
      </c>
      <c r="E9" s="13">
        <f>ROUND(Sheet2!E9*(1+Sheet1!$C$3),0)</f>
        <v>80394</v>
      </c>
      <c r="F9" s="13">
        <f>D9</f>
        <v>2975</v>
      </c>
      <c r="G9" s="15">
        <v>96167</v>
      </c>
      <c r="H9" s="13">
        <f>IF(Sheet1!C$7&lt;E9,Sheet2!I9,0)</f>
        <v>0</v>
      </c>
      <c r="I9" s="13">
        <v>1500</v>
      </c>
      <c r="J9" s="13">
        <v>0</v>
      </c>
    </row>
    <row r="10" spans="1:10" x14ac:dyDescent="0.25">
      <c r="A10" s="13" t="s">
        <v>13</v>
      </c>
      <c r="C10" s="15">
        <v>106257</v>
      </c>
      <c r="D10" s="15">
        <v>4535</v>
      </c>
      <c r="E10" s="15">
        <v>141678</v>
      </c>
      <c r="F10" s="15">
        <v>3553</v>
      </c>
      <c r="G10" s="15">
        <v>159384</v>
      </c>
      <c r="H10" s="13">
        <f>IF(Sheet1!C$7&lt;E10,Sheet2!I10,0)</f>
        <v>0</v>
      </c>
      <c r="I10" s="13">
        <v>0</v>
      </c>
      <c r="J10" s="13">
        <v>0</v>
      </c>
    </row>
    <row r="11" spans="1:10" x14ac:dyDescent="0.25">
      <c r="A11" s="13" t="s">
        <v>14</v>
      </c>
      <c r="C11" s="15">
        <v>85114</v>
      </c>
      <c r="D11" s="15">
        <v>3752</v>
      </c>
      <c r="E11" s="13">
        <f>ROUND(Sheet2!E11*(1+Sheet1!$C$3),0)</f>
        <v>104236</v>
      </c>
      <c r="F11" s="13">
        <f>D11</f>
        <v>3752</v>
      </c>
      <c r="G11" s="15">
        <v>127671</v>
      </c>
      <c r="H11" s="13">
        <f>IF(Sheet1!C$7&lt;E11,Sheet2!I11,0)</f>
        <v>0</v>
      </c>
      <c r="I11" s="13">
        <v>0</v>
      </c>
      <c r="J11" s="13">
        <v>0</v>
      </c>
    </row>
    <row r="12" spans="1:10" x14ac:dyDescent="0.25">
      <c r="A12" s="13" t="s">
        <v>15</v>
      </c>
      <c r="C12" s="15">
        <v>72118</v>
      </c>
      <c r="D12" s="15">
        <v>3271</v>
      </c>
      <c r="E12" s="13">
        <f>ROUND(Sheet2!E12*(1+Sheet1!$C$3),0)</f>
        <v>90432</v>
      </c>
      <c r="F12" s="13">
        <f>D12</f>
        <v>3271</v>
      </c>
      <c r="G12" s="15">
        <v>108178</v>
      </c>
      <c r="H12" s="13">
        <f>IF(Sheet1!C$7&lt;E12,Sheet2!I12,0)</f>
        <v>0</v>
      </c>
      <c r="I12" s="13">
        <v>1500</v>
      </c>
      <c r="J12" s="13">
        <v>0</v>
      </c>
    </row>
    <row r="13" spans="1:10" x14ac:dyDescent="0.25">
      <c r="A13" s="13" t="s">
        <v>16</v>
      </c>
      <c r="C13" s="15">
        <v>62616</v>
      </c>
      <c r="D13" s="15">
        <v>2920</v>
      </c>
      <c r="E13" s="13">
        <f>ROUND(Sheet2!E13*(1+Sheet1!$C$3),0)</f>
        <v>78519</v>
      </c>
      <c r="F13" s="13">
        <f>D13</f>
        <v>2920</v>
      </c>
      <c r="G13" s="15">
        <v>93925</v>
      </c>
      <c r="H13" s="13">
        <f>IF(Sheet1!C$7&lt;E13,Sheet2!I13,0)</f>
        <v>0</v>
      </c>
      <c r="I13" s="13">
        <v>1500</v>
      </c>
      <c r="J13" s="1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muir</dc:creator>
  <cp:lastModifiedBy>Dave Muir</cp:lastModifiedBy>
  <dcterms:created xsi:type="dcterms:W3CDTF">2013-09-03T19:34:23Z</dcterms:created>
  <dcterms:modified xsi:type="dcterms:W3CDTF">2021-11-01T18:24:05Z</dcterms:modified>
</cp:coreProperties>
</file>