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HRADMIN\Compensation NEW\Collective Bargaining\UMFA\Proposals &amp; Salary Calculation Workbook\UM Proposals to UMFA\Proposal 2 - January 2025\Salary Calculator #2\"/>
    </mc:Choice>
  </mc:AlternateContent>
  <xr:revisionPtr revIDLastSave="0" documentId="13_ncr:1_{0D9F2CFD-E055-47AC-BD44-2F8CA22C5951}" xr6:coauthVersionLast="47" xr6:coauthVersionMax="47" xr10:uidLastSave="{00000000-0000-0000-0000-000000000000}"/>
  <bookViews>
    <workbookView xWindow="-28920" yWindow="45" windowWidth="29040" windowHeight="15720" xr2:uid="{F4D1E502-01FE-4139-9C60-C2860219BCE4}"/>
  </bookViews>
  <sheets>
    <sheet name="Salary Calculator" sheetId="1" r:id="rId1"/>
    <sheet name="Scales" sheetId="2" state="hidden" r:id="rId2"/>
  </sheets>
  <definedNames>
    <definedName name="_xlnm.Print_Area" localSheetId="0">'Salary Calculator'!$A$1:$F$51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C19" i="1" l="1"/>
  <c r="B47" i="1"/>
  <c r="C13" i="1"/>
  <c r="D39" i="1"/>
  <c r="B39" i="1"/>
  <c r="D31" i="1"/>
  <c r="B31" i="1"/>
  <c r="D23" i="1"/>
  <c r="B23" i="1"/>
  <c r="D11" i="1"/>
  <c r="B11" i="1"/>
  <c r="E42" i="1"/>
  <c r="E34" i="1"/>
  <c r="E26" i="1"/>
  <c r="E14" i="1"/>
  <c r="C14" i="1" l="1"/>
  <c r="E13" i="1" s="1"/>
  <c r="E15" i="1" l="1"/>
  <c r="C15" i="1" s="1"/>
  <c r="C16" i="1" l="1"/>
  <c r="F13" i="1"/>
  <c r="F15" i="1" l="1"/>
  <c r="C17" i="1" s="1"/>
  <c r="C18" i="1" l="1"/>
  <c r="C20" i="1" s="1"/>
  <c r="C25" i="1" s="1"/>
  <c r="C26" i="1" s="1"/>
  <c r="E25" i="1" s="1"/>
  <c r="E27" i="1" s="1"/>
  <c r="C27" i="1" s="1"/>
  <c r="C28" i="1" s="1"/>
  <c r="C33" i="1" s="1"/>
  <c r="C34" i="1" s="1"/>
  <c r="E33" i="1" s="1"/>
  <c r="E35" i="1" s="1"/>
  <c r="C35" i="1" s="1"/>
  <c r="C36" i="1" s="1"/>
  <c r="C41" i="1" s="1"/>
  <c r="C42" i="1" s="1"/>
  <c r="E41" i="1" s="1"/>
  <c r="E43" i="1" l="1"/>
  <c r="C43" i="1" s="1"/>
  <c r="C44" i="1" s="1"/>
  <c r="B48" i="1" s="1"/>
  <c r="B49" i="1" s="1"/>
  <c r="B50" i="1" s="1"/>
</calcChain>
</file>

<file path=xl/sharedStrings.xml><?xml version="1.0" encoding="utf-8"?>
<sst xmlns="http://schemas.openxmlformats.org/spreadsheetml/2006/main" count="90" uniqueCount="61">
  <si>
    <t>April 1 2023 (Current Rates)</t>
  </si>
  <si>
    <t>2024-25 (effective April 1, 2024)</t>
  </si>
  <si>
    <t>2025-26 (effective April 1, 2025)</t>
  </si>
  <si>
    <t>2026-27 (effective April 1, 2026)</t>
  </si>
  <si>
    <t>2027-28 (effective April 1, 2027)</t>
  </si>
  <si>
    <t>FLOOR</t>
  </si>
  <si>
    <t>MAXIMUM</t>
  </si>
  <si>
    <t>INCREMENT</t>
  </si>
  <si>
    <t>SPREAD</t>
  </si>
  <si>
    <t>Professor</t>
  </si>
  <si>
    <t>Associate Professor</t>
  </si>
  <si>
    <t>Assistant Professor</t>
  </si>
  <si>
    <t>Lecturer</t>
  </si>
  <si>
    <t>Senior Instructor</t>
  </si>
  <si>
    <t>Instructor II</t>
  </si>
  <si>
    <t>Instructor I</t>
  </si>
  <si>
    <t>Librarian</t>
  </si>
  <si>
    <t>Associate Librarian</t>
  </si>
  <si>
    <t>Assistant Librarian</t>
  </si>
  <si>
    <t>General Librarian</t>
  </si>
  <si>
    <t>RANK</t>
  </si>
  <si>
    <t>Column1</t>
  </si>
  <si>
    <t>YES</t>
  </si>
  <si>
    <t>NO</t>
  </si>
  <si>
    <t>Promotion</t>
  </si>
  <si>
    <t>Rank Range Maximum:</t>
  </si>
  <si>
    <t>Salary at March 31, 2024</t>
  </si>
  <si>
    <t>UMFA Salary Calculator</t>
  </si>
  <si>
    <t>Salary at March 31, 2024:</t>
  </si>
  <si>
    <t>General Salary Increase (2.50%):</t>
  </si>
  <si>
    <t>Rank Range Floor:</t>
  </si>
  <si>
    <t>Promotion Increment (if applicable)</t>
  </si>
  <si>
    <t>Salary at March 31, 2025:</t>
  </si>
  <si>
    <t>General Salary Increase (2.75%):</t>
  </si>
  <si>
    <t>Salary effective April 1, 2025:</t>
  </si>
  <si>
    <t>General Salary Increase (3.00%):</t>
  </si>
  <si>
    <t>Salary at March 31, 2026:</t>
  </si>
  <si>
    <t>Salary effective April 1, 2026:</t>
  </si>
  <si>
    <t>Salary at March 31, 2027:</t>
  </si>
  <si>
    <t>Salary effective April 1, 2027:</t>
  </si>
  <si>
    <t>Select</t>
  </si>
  <si>
    <t>Salary Change Over 4 Year Agreement</t>
  </si>
  <si>
    <t>Increase ($)</t>
  </si>
  <si>
    <t>Increase (%)</t>
  </si>
  <si>
    <t>Salary at April 1, 2027</t>
  </si>
  <si>
    <r>
      <t xml:space="preserve">Your Year 1 Salary </t>
    </r>
    <r>
      <rPr>
        <sz val="12"/>
        <color theme="1"/>
        <rFont val="Aptos Narrow"/>
        <family val="2"/>
        <scheme val="minor"/>
      </rPr>
      <t xml:space="preserve">- </t>
    </r>
    <r>
      <rPr>
        <i/>
        <sz val="12"/>
        <color theme="1"/>
        <rFont val="Aptos Narrow"/>
        <family val="2"/>
        <scheme val="minor"/>
      </rPr>
      <t>April 1, 2024 to March 31, 2025</t>
    </r>
  </si>
  <si>
    <r>
      <t>Your Year 2 Salary</t>
    </r>
    <r>
      <rPr>
        <sz val="12"/>
        <color theme="1"/>
        <rFont val="Aptos Narrow"/>
        <family val="2"/>
        <scheme val="minor"/>
      </rPr>
      <t xml:space="preserve"> - </t>
    </r>
    <r>
      <rPr>
        <i/>
        <sz val="12"/>
        <color theme="1"/>
        <rFont val="Aptos Narrow"/>
        <family val="2"/>
        <scheme val="minor"/>
      </rPr>
      <t>April 1, 2025 to March 31, 2026</t>
    </r>
  </si>
  <si>
    <r>
      <t>Your Year 3 Salary</t>
    </r>
    <r>
      <rPr>
        <sz val="12"/>
        <color theme="1"/>
        <rFont val="Aptos Narrow"/>
        <family val="2"/>
        <scheme val="minor"/>
      </rPr>
      <t xml:space="preserve"> - </t>
    </r>
    <r>
      <rPr>
        <i/>
        <sz val="12"/>
        <color theme="1"/>
        <rFont val="Aptos Narrow"/>
        <family val="2"/>
        <scheme val="minor"/>
      </rPr>
      <t>April 1, 2026 to March 31, 2027</t>
    </r>
  </si>
  <si>
    <r>
      <t xml:space="preserve">Your Year 4 Salary </t>
    </r>
    <r>
      <rPr>
        <sz val="12"/>
        <color theme="1"/>
        <rFont val="Aptos Narrow"/>
        <family val="2"/>
        <scheme val="minor"/>
      </rPr>
      <t xml:space="preserve">- </t>
    </r>
    <r>
      <rPr>
        <i/>
        <sz val="12"/>
        <color theme="1"/>
        <rFont val="Aptos Narrow"/>
        <family val="2"/>
        <scheme val="minor"/>
      </rPr>
      <t>April 1, 2027 to March 31, 2028</t>
    </r>
  </si>
  <si>
    <r>
      <rPr>
        <b/>
        <sz val="11"/>
        <color theme="1"/>
        <rFont val="Aptos Narrow"/>
        <family val="2"/>
        <scheme val="minor"/>
      </rPr>
      <t>ENTER</t>
    </r>
    <r>
      <rPr>
        <sz val="11"/>
        <color theme="1"/>
        <rFont val="Aptos Narrow"/>
        <family val="2"/>
        <scheme val="minor"/>
      </rPr>
      <t xml:space="preserve"> March 31, 2024 Salary</t>
    </r>
  </si>
  <si>
    <r>
      <rPr>
        <b/>
        <sz val="11"/>
        <color theme="1"/>
        <rFont val="Aptos Narrow"/>
        <family val="2"/>
        <scheme val="minor"/>
      </rPr>
      <t xml:space="preserve">SELECT </t>
    </r>
    <r>
      <rPr>
        <sz val="11"/>
        <color theme="1"/>
        <rFont val="Aptos Narrow"/>
        <family val="2"/>
        <scheme val="minor"/>
      </rPr>
      <t>Current Rank</t>
    </r>
  </si>
  <si>
    <r>
      <rPr>
        <b/>
        <sz val="11"/>
        <color theme="1"/>
        <rFont val="Aptos Narrow"/>
        <family val="2"/>
        <scheme val="minor"/>
      </rPr>
      <t>SELECT</t>
    </r>
    <r>
      <rPr>
        <sz val="11"/>
        <color theme="1"/>
        <rFont val="Aptos Narrow"/>
        <family val="2"/>
        <scheme val="minor"/>
      </rPr>
      <t xml:space="preserve"> Promotion Increment</t>
    </r>
  </si>
  <si>
    <t>Increment (if applicable):</t>
  </si>
  <si>
    <t xml:space="preserve">  &lt;-See Instructions to the right for more details</t>
  </si>
  <si>
    <t>Salary before promotion increment (if applicable):</t>
  </si>
  <si>
    <t>Salary effective April 1, 2024</t>
  </si>
  <si>
    <t>Increment</t>
  </si>
  <si>
    <t>$3000 Adjustment</t>
  </si>
  <si>
    <t>Professor Rank Adjustment ($3000 up to rank max):</t>
  </si>
  <si>
    <t>This calculation reflects General Salary Increase percentages, Performance and Promotional Increments as outlined in UM Document 16 - Salaries Article 24</t>
  </si>
  <si>
    <t>UM Offer Jan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</si>
</sst>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0" xfId="0" applyFont="1"/>
    <xf numFmtId="9" fontId="0" fillId="0" borderId="5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9" fontId="0" fillId="2" borderId="5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9" fontId="0" fillId="3" borderId="5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9" fontId="0" fillId="4" borderId="5" xfId="0" applyNumberFormat="1" applyFill="1" applyBorder="1" applyAlignment="1">
      <alignment horizontal="center"/>
    </xf>
    <xf numFmtId="164" fontId="0" fillId="5" borderId="4" xfId="0" applyNumberFormat="1" applyFill="1" applyBorder="1"/>
    <xf numFmtId="164" fontId="0" fillId="5" borderId="0" xfId="0" applyNumberFormat="1" applyFill="1"/>
    <xf numFmtId="9" fontId="0" fillId="5" borderId="5" xfId="0" applyNumberFormat="1" applyFill="1" applyBorder="1"/>
    <xf numFmtId="164" fontId="0" fillId="0" borderId="0" xfId="0" applyNumberFormat="1"/>
    <xf numFmtId="164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9" fontId="0" fillId="3" borderId="8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9" fontId="0" fillId="4" borderId="8" xfId="0" applyNumberFormat="1" applyFill="1" applyBorder="1" applyAlignment="1">
      <alignment horizontal="center"/>
    </xf>
    <xf numFmtId="164" fontId="0" fillId="5" borderId="6" xfId="0" applyNumberFormat="1" applyFill="1" applyBorder="1"/>
    <xf numFmtId="164" fontId="0" fillId="5" borderId="7" xfId="0" applyNumberFormat="1" applyFill="1" applyBorder="1"/>
    <xf numFmtId="9" fontId="0" fillId="5" borderId="8" xfId="0" applyNumberFormat="1" applyFill="1" applyBorder="1"/>
    <xf numFmtId="164" fontId="0" fillId="0" borderId="0" xfId="0" applyNumberFormat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4" fillId="0" borderId="0" xfId="0" applyFont="1"/>
    <xf numFmtId="0" fontId="0" fillId="0" borderId="15" xfId="0" applyBorder="1"/>
    <xf numFmtId="164" fontId="0" fillId="0" borderId="16" xfId="0" applyNumberFormat="1" applyBorder="1" applyAlignment="1">
      <alignment horizontal="left"/>
    </xf>
    <xf numFmtId="0" fontId="0" fillId="0" borderId="16" xfId="0" applyBorder="1"/>
    <xf numFmtId="164" fontId="1" fillId="0" borderId="0" xfId="0" applyNumberFormat="1" applyFont="1"/>
    <xf numFmtId="164" fontId="0" fillId="0" borderId="0" xfId="0" applyNumberFormat="1" applyAlignment="1">
      <alignment horizontal="left"/>
    </xf>
    <xf numFmtId="0" fontId="2" fillId="0" borderId="0" xfId="0" applyFont="1"/>
    <xf numFmtId="164" fontId="2" fillId="0" borderId="0" xfId="0" applyNumberFormat="1" applyFont="1"/>
    <xf numFmtId="6" fontId="0" fillId="0" borderId="0" xfId="0" applyNumberFormat="1" applyAlignment="1">
      <alignment horizontal="center"/>
    </xf>
    <xf numFmtId="10" fontId="0" fillId="0" borderId="0" xfId="0" applyNumberFormat="1" applyAlignment="1">
      <alignment horizontal="right"/>
    </xf>
    <xf numFmtId="164" fontId="0" fillId="6" borderId="10" xfId="0" applyNumberFormat="1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/>
    <xf numFmtId="0" fontId="9" fillId="0" borderId="0" xfId="0" applyFont="1"/>
    <xf numFmtId="164" fontId="9" fillId="0" borderId="17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left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5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5" name="AutoShape 1" descr="A full colour CMYK horizontal version of the University of Manitoba logo with the graphic shield and wordmark.">
          <a:extLst>
            <a:ext uri="{FF2B5EF4-FFF2-40B4-BE49-F238E27FC236}">
              <a16:creationId xmlns:a16="http://schemas.microsoft.com/office/drawing/2014/main" id="{B312219D-611B-30F9-604D-B3BE0DD7453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38101</xdr:rowOff>
    </xdr:from>
    <xdr:to>
      <xdr:col>0</xdr:col>
      <xdr:colOff>1381276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B52024-0CA4-4434-B7D2-D7990BFC2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1"/>
          <a:ext cx="1371751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0</xdr:rowOff>
    </xdr:from>
    <xdr:to>
      <xdr:col>16</xdr:col>
      <xdr:colOff>296126</xdr:colOff>
      <xdr:row>27</xdr:row>
      <xdr:rowOff>105490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36A260-C983-97C4-06EE-C75D6AEBC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0"/>
          <a:ext cx="6096851" cy="51251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8F3B44-BE3D-4B53-8597-29295B5EA742}" name="Table2" displayName="Table2" ref="A2:A14" totalsRowShown="0" headerRowDxfId="6" dataDxfId="5" tableBorderDxfId="4">
  <autoFilter ref="A2:A14" xr:uid="{728F3B44-BE3D-4B53-8597-29295B5EA742}"/>
  <tableColumns count="1">
    <tableColumn id="1" xr3:uid="{BC3073D1-234F-4DA4-A6BD-5C29C6083E98}" name="RANK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C49C7E-28BB-46B8-A774-AE6A0D30FE83}" name="Table4" displayName="Table4" ref="A76:A79" totalsRowShown="0" headerRowDxfId="2" dataDxfId="1">
  <autoFilter ref="A76:A79" xr:uid="{F5C49C7E-28BB-46B8-A774-AE6A0D30FE83}"/>
  <tableColumns count="1">
    <tableColumn id="1" xr3:uid="{AED59285-372C-48C5-B2FB-3E9F4C533A6C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03A55-BE3C-4A17-8900-3B525843DD8E}">
  <sheetPr>
    <pageSetUpPr fitToPage="1"/>
  </sheetPr>
  <dimension ref="A1:F50"/>
  <sheetViews>
    <sheetView showGridLines="0" tabSelected="1" zoomScaleNormal="100" workbookViewId="0">
      <selection activeCell="I32" sqref="I32"/>
    </sheetView>
  </sheetViews>
  <sheetFormatPr defaultRowHeight="15" x14ac:dyDescent="0.25"/>
  <cols>
    <col min="1" max="1" width="32" customWidth="1"/>
    <col min="2" max="3" width="20.7109375" customWidth="1"/>
    <col min="4" max="4" width="21.5703125" style="64" customWidth="1"/>
    <col min="5" max="6" width="20.7109375" style="55" hidden="1" customWidth="1"/>
    <col min="7" max="7" width="11.5703125" customWidth="1"/>
    <col min="9" max="9" width="9.140625" customWidth="1"/>
  </cols>
  <sheetData>
    <row r="1" spans="1:6" x14ac:dyDescent="0.25">
      <c r="D1" s="63" t="s">
        <v>27</v>
      </c>
    </row>
    <row r="2" spans="1:6" x14ac:dyDescent="0.25">
      <c r="D2" s="63" t="s">
        <v>60</v>
      </c>
    </row>
    <row r="3" spans="1:6" ht="17.25" customHeight="1" x14ac:dyDescent="0.25"/>
    <row r="5" spans="1:6" ht="15.75" thickBot="1" x14ac:dyDescent="0.3"/>
    <row r="6" spans="1:6" x14ac:dyDescent="0.25">
      <c r="A6" s="46" t="s">
        <v>49</v>
      </c>
      <c r="B6" s="59">
        <v>176645.6</v>
      </c>
    </row>
    <row r="7" spans="1:6" x14ac:dyDescent="0.25">
      <c r="A7" s="47" t="s">
        <v>50</v>
      </c>
      <c r="B7" s="60" t="s">
        <v>9</v>
      </c>
    </row>
    <row r="8" spans="1:6" ht="15.75" thickBot="1" x14ac:dyDescent="0.3">
      <c r="A8" s="48" t="s">
        <v>51</v>
      </c>
      <c r="B8" s="61" t="s">
        <v>23</v>
      </c>
      <c r="C8" s="62" t="s">
        <v>53</v>
      </c>
    </row>
    <row r="10" spans="1:6" ht="15.75" x14ac:dyDescent="0.25">
      <c r="A10" s="49" t="s">
        <v>45</v>
      </c>
    </row>
    <row r="11" spans="1:6" x14ac:dyDescent="0.25">
      <c r="A11" s="50" t="s">
        <v>30</v>
      </c>
      <c r="B11" s="51">
        <f>IFERROR(VLOOKUP(B7,Scales!A4:F14,6,FALSE),0)</f>
        <v>135044.1</v>
      </c>
      <c r="C11" s="52" t="s">
        <v>25</v>
      </c>
      <c r="D11" s="65">
        <f>IFERROR(VLOOKUP(B7,Scales!A4:G14,7,FALSE),0)</f>
        <v>189061.74</v>
      </c>
    </row>
    <row r="12" spans="1:6" x14ac:dyDescent="0.25">
      <c r="B12" s="54"/>
      <c r="D12" s="66"/>
      <c r="E12" s="69" t="s">
        <v>56</v>
      </c>
      <c r="F12" s="69" t="s">
        <v>57</v>
      </c>
    </row>
    <row r="13" spans="1:6" x14ac:dyDescent="0.25">
      <c r="A13" t="s">
        <v>28</v>
      </c>
      <c r="B13" s="30"/>
      <c r="C13" s="30">
        <f>B6</f>
        <v>176645.6</v>
      </c>
      <c r="E13" s="56">
        <f>C13+C14</f>
        <v>181061.74000000002</v>
      </c>
      <c r="F13" s="56">
        <f>SUM(C13:C15)</f>
        <v>186463.74000000002</v>
      </c>
    </row>
    <row r="14" spans="1:6" x14ac:dyDescent="0.25">
      <c r="A14" t="s">
        <v>29</v>
      </c>
      <c r="C14" s="30">
        <f>C13*0.025</f>
        <v>4416.1400000000003</v>
      </c>
      <c r="E14" s="56">
        <f>IFERROR(VLOOKUP(B7,Scales!A4:H14,8,FALSE),0)</f>
        <v>5402</v>
      </c>
      <c r="F14" s="56">
        <f>IF(B7="Professor",3000,0)</f>
        <v>3000</v>
      </c>
    </row>
    <row r="15" spans="1:6" x14ac:dyDescent="0.25">
      <c r="A15" t="s">
        <v>52</v>
      </c>
      <c r="C15" s="30">
        <f>IFERROR(E15-E13,0)</f>
        <v>5402</v>
      </c>
      <c r="E15" s="56">
        <f>IFERROR(IF(E13&gt;D11,E13,(IF(E13+E14&gt;D11,D11,E13+E14))),0)</f>
        <v>186463.74000000002</v>
      </c>
      <c r="F15" s="56">
        <f>IFERROR(IF(F13&gt;D11,F13,(IF(F13+F14&gt;D11,D11,F13+F14))),0)</f>
        <v>189061.74</v>
      </c>
    </row>
    <row r="16" spans="1:6" hidden="1" x14ac:dyDescent="0.25">
      <c r="A16" t="s">
        <v>54</v>
      </c>
      <c r="C16" s="30">
        <f>IF(B7="Select",0,IF(SUM(C13:C15)&lt;B11,B11,SUM(C13:C15)))</f>
        <v>186463.74000000002</v>
      </c>
      <c r="E16" s="56"/>
    </row>
    <row r="17" spans="1:5" x14ac:dyDescent="0.25">
      <c r="A17" t="s">
        <v>58</v>
      </c>
      <c r="C17" s="30">
        <f>IF(B7="Professor",MAX(IFERROR(F15-F13,0),0),0)</f>
        <v>2597.9999999999709</v>
      </c>
      <c r="E17" s="56"/>
    </row>
    <row r="18" spans="1:5" x14ac:dyDescent="0.25">
      <c r="A18" t="s">
        <v>54</v>
      </c>
      <c r="C18" s="30">
        <f>SUM(C16:C17)</f>
        <v>189061.74</v>
      </c>
      <c r="E18" s="56"/>
    </row>
    <row r="19" spans="1:5" x14ac:dyDescent="0.25">
      <c r="A19" t="s">
        <v>31</v>
      </c>
      <c r="C19" s="30">
        <f>IF((B8="NO"),0,VLOOKUP(B7,Scales!A4:H14,8,FALSE))</f>
        <v>0</v>
      </c>
    </row>
    <row r="20" spans="1:5" x14ac:dyDescent="0.25">
      <c r="A20" t="s">
        <v>55</v>
      </c>
      <c r="C20" s="53">
        <f>SUM(C18:C19)</f>
        <v>189061.74</v>
      </c>
    </row>
    <row r="22" spans="1:5" ht="15.75" x14ac:dyDescent="0.25">
      <c r="A22" s="49" t="s">
        <v>46</v>
      </c>
    </row>
    <row r="23" spans="1:5" x14ac:dyDescent="0.25">
      <c r="A23" s="50" t="s">
        <v>30</v>
      </c>
      <c r="B23" s="51">
        <f>IFERROR(VLOOKUP(B7,Scales!A4:J14,10,FALSE),0)</f>
        <v>138757.81275000001</v>
      </c>
      <c r="C23" s="52" t="s">
        <v>25</v>
      </c>
      <c r="D23" s="65">
        <f>IFERROR(VLOOKUP(B7,Scales!A4:K14,11,FALSE),0)</f>
        <v>194260.93785000002</v>
      </c>
    </row>
    <row r="24" spans="1:5" x14ac:dyDescent="0.25">
      <c r="B24" s="54"/>
      <c r="D24" s="66"/>
    </row>
    <row r="25" spans="1:5" x14ac:dyDescent="0.25">
      <c r="A25" t="s">
        <v>32</v>
      </c>
      <c r="B25" s="30"/>
      <c r="C25" s="30">
        <f>C20</f>
        <v>189061.74</v>
      </c>
      <c r="E25" s="56">
        <f>C25+C26</f>
        <v>194260.93784999999</v>
      </c>
    </row>
    <row r="26" spans="1:5" x14ac:dyDescent="0.25">
      <c r="A26" t="s">
        <v>33</v>
      </c>
      <c r="C26" s="30">
        <f>C25*0.0275</f>
        <v>5199.1978499999996</v>
      </c>
      <c r="E26" s="56">
        <f>IFERROR(VLOOKUP(B7,Scales!A4:L14,12,FALSE),0)</f>
        <v>5550</v>
      </c>
    </row>
    <row r="27" spans="1:5" x14ac:dyDescent="0.25">
      <c r="A27" t="s">
        <v>52</v>
      </c>
      <c r="C27" s="30">
        <f>IFERROR(E27-E25,0)</f>
        <v>2.9103830456733704E-11</v>
      </c>
      <c r="E27" s="56">
        <f>IF(E25&gt;D23,E25,(IF(E25+E26&gt;D23,D23,E25+E26)))</f>
        <v>194260.93785000002</v>
      </c>
    </row>
    <row r="28" spans="1:5" x14ac:dyDescent="0.25">
      <c r="A28" t="s">
        <v>34</v>
      </c>
      <c r="C28" s="53">
        <f>SUM(C25:C27)</f>
        <v>194260.93785000002</v>
      </c>
    </row>
    <row r="30" spans="1:5" ht="15.75" x14ac:dyDescent="0.25">
      <c r="A30" s="49" t="s">
        <v>47</v>
      </c>
    </row>
    <row r="31" spans="1:5" x14ac:dyDescent="0.25">
      <c r="A31" s="50" t="s">
        <v>30</v>
      </c>
      <c r="B31" s="51">
        <f>IFERROR(VLOOKUP(B7,Scales!A4:N14,14,FALSE),0)</f>
        <v>142920.54713250001</v>
      </c>
      <c r="C31" s="52" t="s">
        <v>25</v>
      </c>
      <c r="D31" s="65">
        <f>IFERROR(VLOOKUP(B7,Scales!A4:O14,15,FALSE),0)</f>
        <v>200088.76598550001</v>
      </c>
    </row>
    <row r="32" spans="1:5" x14ac:dyDescent="0.25">
      <c r="B32" s="54"/>
      <c r="D32" s="66"/>
    </row>
    <row r="33" spans="1:6" x14ac:dyDescent="0.25">
      <c r="A33" t="s">
        <v>36</v>
      </c>
      <c r="B33" s="30"/>
      <c r="C33" s="30">
        <f>C28</f>
        <v>194260.93785000002</v>
      </c>
      <c r="E33" s="56">
        <f>C33+C34</f>
        <v>200088.76598550001</v>
      </c>
    </row>
    <row r="34" spans="1:6" x14ac:dyDescent="0.25">
      <c r="A34" t="s">
        <v>35</v>
      </c>
      <c r="C34" s="30">
        <f>C33*0.03</f>
        <v>5827.8281354999999</v>
      </c>
      <c r="E34" s="56">
        <f>IFERROR(VLOOKUP(B7,Scales!A4:P14,16,FALSE),0)</f>
        <v>5717</v>
      </c>
    </row>
    <row r="35" spans="1:6" x14ac:dyDescent="0.25">
      <c r="A35" t="s">
        <v>52</v>
      </c>
      <c r="C35" s="30">
        <f>IFERROR(E35-E33,0)</f>
        <v>0</v>
      </c>
      <c r="E35" s="56">
        <f>IFERROR(IF(E33&gt;D31,E33,(IF(E33+E34&gt;D31,D31,E33+E34))),0)</f>
        <v>200088.76598550001</v>
      </c>
    </row>
    <row r="36" spans="1:6" x14ac:dyDescent="0.25">
      <c r="A36" t="s">
        <v>37</v>
      </c>
      <c r="C36" s="53">
        <f>SUM(C33:C35)</f>
        <v>200088.76598550001</v>
      </c>
    </row>
    <row r="38" spans="1:6" ht="15.75" x14ac:dyDescent="0.25">
      <c r="A38" s="49" t="s">
        <v>48</v>
      </c>
    </row>
    <row r="39" spans="1:6" x14ac:dyDescent="0.25">
      <c r="A39" s="50" t="s">
        <v>30</v>
      </c>
      <c r="B39" s="51">
        <f>IFERROR(VLOOKUP(B7,Scales!A4:R14,18,FALSE),0)</f>
        <v>147208.16354647503</v>
      </c>
      <c r="C39" s="52" t="s">
        <v>25</v>
      </c>
      <c r="D39" s="65">
        <f>IFERROR(VLOOKUP(B7,Scales!A4:S14,19,FALSE),0)</f>
        <v>206091.42896506502</v>
      </c>
    </row>
    <row r="40" spans="1:6" x14ac:dyDescent="0.25">
      <c r="B40" s="54"/>
      <c r="D40" s="66"/>
    </row>
    <row r="41" spans="1:6" x14ac:dyDescent="0.25">
      <c r="A41" t="s">
        <v>38</v>
      </c>
      <c r="B41" s="30"/>
      <c r="C41" s="30">
        <f>C36</f>
        <v>200088.76598550001</v>
      </c>
      <c r="E41" s="56">
        <f>C41+C42</f>
        <v>206091.42896506502</v>
      </c>
    </row>
    <row r="42" spans="1:6" x14ac:dyDescent="0.25">
      <c r="A42" t="s">
        <v>35</v>
      </c>
      <c r="C42" s="30">
        <f>C41*0.03</f>
        <v>6002.6629795649997</v>
      </c>
      <c r="E42" s="56">
        <f>IFERROR(VLOOKUP(B7,Scales!A4:T14,20,FALSE),0)</f>
        <v>5888</v>
      </c>
    </row>
    <row r="43" spans="1:6" x14ac:dyDescent="0.25">
      <c r="A43" t="s">
        <v>52</v>
      </c>
      <c r="C43" s="30">
        <f>IFERROR(E43-E41,0)</f>
        <v>0</v>
      </c>
      <c r="E43" s="56">
        <f>IFERROR(IF(E41&gt;D39,E41,(IF(E41+E42&gt;D39,D39,E41+E42))),0)</f>
        <v>206091.42896506502</v>
      </c>
    </row>
    <row r="44" spans="1:6" x14ac:dyDescent="0.25">
      <c r="A44" t="s">
        <v>39</v>
      </c>
      <c r="C44" s="53">
        <f>SUM(C41:C43)</f>
        <v>206091.42896506502</v>
      </c>
    </row>
    <row r="46" spans="1:6" x14ac:dyDescent="0.25">
      <c r="A46" s="16" t="s">
        <v>41</v>
      </c>
    </row>
    <row r="47" spans="1:6" ht="15" customHeight="1" x14ac:dyDescent="0.25">
      <c r="A47" t="s">
        <v>26</v>
      </c>
      <c r="B47" s="30">
        <f>B6</f>
        <v>176645.6</v>
      </c>
      <c r="C47" s="70" t="s">
        <v>59</v>
      </c>
      <c r="D47" s="71"/>
      <c r="E47" s="71"/>
      <c r="F47" s="71"/>
    </row>
    <row r="48" spans="1:6" x14ac:dyDescent="0.25">
      <c r="A48" t="s">
        <v>44</v>
      </c>
      <c r="B48" s="30">
        <f>C44</f>
        <v>206091.42896506502</v>
      </c>
      <c r="C48" s="71"/>
      <c r="D48" s="71"/>
      <c r="E48" s="71"/>
      <c r="F48" s="71"/>
    </row>
    <row r="49" spans="1:6" x14ac:dyDescent="0.25">
      <c r="A49" t="s">
        <v>42</v>
      </c>
      <c r="B49" s="30">
        <f>B48-B47</f>
        <v>29445.828965065011</v>
      </c>
      <c r="C49" s="71"/>
      <c r="D49" s="71"/>
      <c r="E49" s="71"/>
      <c r="F49" s="71"/>
    </row>
    <row r="50" spans="1:6" x14ac:dyDescent="0.25">
      <c r="A50" t="s">
        <v>43</v>
      </c>
      <c r="B50" s="58">
        <f>IFERROR(B49/B47,"0%")</f>
        <v>0.16669438109449095</v>
      </c>
      <c r="C50" s="71"/>
      <c r="D50" s="71"/>
      <c r="E50" s="71"/>
      <c r="F50" s="71"/>
    </row>
  </sheetData>
  <sheetProtection algorithmName="SHA-512" hashValue="3vww1qAcLG/aGQhV1zvERiVrktsN9886Hbv9SC30/tPeFVhQtWSiJ3u6Z/HkC4ivvjSJ9kJHy3no+S0cB4SLVA==" saltValue="W6cews3kQzhNwSDCR+P4ng==" spinCount="100000" sheet="1" objects="1" scenarios="1"/>
  <mergeCells count="1">
    <mergeCell ref="C47:F50"/>
  </mergeCells>
  <pageMargins left="0.7" right="0.7" top="0.75" bottom="0.75" header="0.3" footer="0.3"/>
  <pageSetup paperSize="5" scale="96" fitToHeight="0" orientation="portrait" horizontalDpi="1200" verticalDpi="1200" r:id="rId1"/>
  <ignoredErrors>
    <ignoredError sqref="C1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nk" prompt="Select your Rank as of April 1, 2024 from the drop down menu" xr:uid="{8FA0D64B-7091-4310-A3C2-65550E2941C6}">
          <x14:formula1>
            <xm:f>Scales!$A$3:$A$14</xm:f>
          </x14:formula1>
          <xm:sqref>B7</xm:sqref>
        </x14:dataValidation>
        <x14:dataValidation type="list" allowBlank="1" showInputMessage="1" showErrorMessage="1" promptTitle="Promotion Increment" prompt="If you recieved an Academic Promtion effective March 30, 2024 and have not yet been awarded your promotion increment, select &quot;YES&quot;.  This will be &quot;NO&quot; for most members." xr:uid="{8E27003A-56D7-4297-A65E-35C52568C928}">
          <x14:formula1>
            <xm:f>Scales!$A$78:$A$79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E187C-83D9-49A8-B77A-D2BDA5641295}">
  <dimension ref="A1:Y79"/>
  <sheetViews>
    <sheetView workbookViewId="0">
      <selection activeCell="S14" sqref="S14"/>
    </sheetView>
  </sheetViews>
  <sheetFormatPr defaultRowHeight="15" x14ac:dyDescent="0.25"/>
  <cols>
    <col min="1" max="1" width="19.85546875" customWidth="1"/>
    <col min="2" max="21" width="12.7109375" customWidth="1"/>
  </cols>
  <sheetData>
    <row r="1" spans="1:25" x14ac:dyDescent="0.25">
      <c r="B1" s="72" t="s">
        <v>0</v>
      </c>
      <c r="C1" s="73"/>
      <c r="D1" s="73"/>
      <c r="E1" s="74"/>
      <c r="F1" s="75" t="s">
        <v>1</v>
      </c>
      <c r="G1" s="76"/>
      <c r="H1" s="76"/>
      <c r="I1" s="77"/>
      <c r="J1" s="78" t="s">
        <v>2</v>
      </c>
      <c r="K1" s="79"/>
      <c r="L1" s="79"/>
      <c r="M1" s="80"/>
      <c r="N1" s="81" t="s">
        <v>3</v>
      </c>
      <c r="O1" s="82"/>
      <c r="P1" s="82"/>
      <c r="Q1" s="83"/>
      <c r="R1" s="84" t="s">
        <v>4</v>
      </c>
      <c r="S1" s="85"/>
      <c r="T1" s="85"/>
      <c r="U1" s="86"/>
      <c r="V1" s="1"/>
    </row>
    <row r="2" spans="1:25" x14ac:dyDescent="0.25">
      <c r="A2" s="16" t="s">
        <v>20</v>
      </c>
      <c r="B2" s="2" t="s">
        <v>5</v>
      </c>
      <c r="C2" s="2" t="s">
        <v>6</v>
      </c>
      <c r="D2" s="2" t="s">
        <v>7</v>
      </c>
      <c r="E2" s="3" t="s">
        <v>8</v>
      </c>
      <c r="F2" s="4" t="s">
        <v>5</v>
      </c>
      <c r="G2" s="5" t="s">
        <v>6</v>
      </c>
      <c r="H2" s="5" t="s">
        <v>7</v>
      </c>
      <c r="I2" s="6" t="s">
        <v>8</v>
      </c>
      <c r="J2" s="7" t="s">
        <v>5</v>
      </c>
      <c r="K2" s="8" t="s">
        <v>6</v>
      </c>
      <c r="L2" s="8" t="s">
        <v>7</v>
      </c>
      <c r="M2" s="9" t="s">
        <v>8</v>
      </c>
      <c r="N2" s="10" t="s">
        <v>5</v>
      </c>
      <c r="O2" s="11" t="s">
        <v>6</v>
      </c>
      <c r="P2" s="11" t="s">
        <v>7</v>
      </c>
      <c r="Q2" s="12" t="s">
        <v>8</v>
      </c>
      <c r="R2" s="13" t="s">
        <v>5</v>
      </c>
      <c r="S2" s="14" t="s">
        <v>6</v>
      </c>
      <c r="T2" s="14" t="s">
        <v>7</v>
      </c>
      <c r="U2" s="15" t="s">
        <v>8</v>
      </c>
      <c r="V2" s="2"/>
      <c r="W2" s="2"/>
      <c r="X2" s="2"/>
      <c r="Y2" s="2"/>
    </row>
    <row r="3" spans="1:25" x14ac:dyDescent="0.25">
      <c r="A3" s="16" t="s">
        <v>40</v>
      </c>
      <c r="B3" s="57">
        <v>0</v>
      </c>
      <c r="C3" s="57">
        <v>0</v>
      </c>
      <c r="D3" s="57">
        <v>0</v>
      </c>
      <c r="E3" s="57">
        <v>0</v>
      </c>
      <c r="F3" s="57">
        <v>0</v>
      </c>
      <c r="G3" s="57">
        <v>0</v>
      </c>
      <c r="H3" s="57">
        <v>0</v>
      </c>
      <c r="I3" s="57">
        <v>0</v>
      </c>
      <c r="J3" s="57">
        <v>0</v>
      </c>
      <c r="K3" s="57">
        <v>0</v>
      </c>
      <c r="L3" s="57">
        <v>0</v>
      </c>
      <c r="M3" s="57">
        <v>0</v>
      </c>
      <c r="N3" s="57">
        <v>0</v>
      </c>
      <c r="O3" s="57">
        <v>0</v>
      </c>
      <c r="P3" s="57">
        <v>0</v>
      </c>
      <c r="Q3" s="57">
        <v>0</v>
      </c>
      <c r="R3" s="57">
        <v>0</v>
      </c>
      <c r="S3" s="57">
        <v>0</v>
      </c>
      <c r="T3" s="57">
        <v>0</v>
      </c>
      <c r="U3" s="57">
        <v>0</v>
      </c>
      <c r="V3" s="2"/>
      <c r="W3" s="2"/>
      <c r="X3" s="2"/>
      <c r="Y3" s="2"/>
    </row>
    <row r="4" spans="1:25" x14ac:dyDescent="0.25">
      <c r="A4" s="16" t="s">
        <v>9</v>
      </c>
      <c r="B4" s="67">
        <v>126175.42820089286</v>
      </c>
      <c r="C4" s="45">
        <v>176645.59948124998</v>
      </c>
      <c r="D4" s="45">
        <v>5047</v>
      </c>
      <c r="E4" s="17">
        <v>0.39999999999999991</v>
      </c>
      <c r="F4" s="18">
        <v>135044.1</v>
      </c>
      <c r="G4" s="19">
        <v>189061.74</v>
      </c>
      <c r="H4" s="19">
        <v>5402</v>
      </c>
      <c r="I4" s="20">
        <v>0.39999999999999986</v>
      </c>
      <c r="J4" s="21">
        <v>138757.81275000001</v>
      </c>
      <c r="K4" s="22">
        <v>194260.93785000002</v>
      </c>
      <c r="L4" s="22">
        <v>5550</v>
      </c>
      <c r="M4" s="23">
        <v>0.4</v>
      </c>
      <c r="N4" s="24">
        <v>142920.54713250001</v>
      </c>
      <c r="O4" s="25">
        <v>200088.76598550001</v>
      </c>
      <c r="P4" s="25">
        <v>5717</v>
      </c>
      <c r="Q4" s="26">
        <v>0.39999999999999997</v>
      </c>
      <c r="R4" s="27">
        <v>147208.16354647503</v>
      </c>
      <c r="S4" s="28">
        <v>206091.42896506502</v>
      </c>
      <c r="T4" s="28">
        <v>5888</v>
      </c>
      <c r="U4" s="29">
        <v>0.39999999999999986</v>
      </c>
      <c r="V4" s="30"/>
    </row>
    <row r="5" spans="1:25" x14ac:dyDescent="0.25">
      <c r="A5" s="16" t="s">
        <v>10</v>
      </c>
      <c r="B5" s="67">
        <v>102757.58178125002</v>
      </c>
      <c r="C5" s="45">
        <v>143860.61449375001</v>
      </c>
      <c r="D5" s="45">
        <v>4110</v>
      </c>
      <c r="E5" s="17">
        <v>0.39999999999999986</v>
      </c>
      <c r="F5" s="18">
        <v>106755.09285714287</v>
      </c>
      <c r="G5" s="19">
        <v>149457.13</v>
      </c>
      <c r="H5" s="19">
        <v>4270</v>
      </c>
      <c r="I5" s="20">
        <v>0.39999999999999991</v>
      </c>
      <c r="J5" s="21">
        <v>109690.8579107143</v>
      </c>
      <c r="K5" s="22">
        <v>153567.20107500002</v>
      </c>
      <c r="L5" s="22">
        <v>4388</v>
      </c>
      <c r="M5" s="23">
        <v>0.39999999999999997</v>
      </c>
      <c r="N5" s="24">
        <v>112981.58364803574</v>
      </c>
      <c r="O5" s="25">
        <v>158174.21710725004</v>
      </c>
      <c r="P5" s="25">
        <v>4519</v>
      </c>
      <c r="Q5" s="26">
        <v>0.4</v>
      </c>
      <c r="R5" s="27">
        <v>116371.03115747681</v>
      </c>
      <c r="S5" s="28">
        <v>162919.44362046753</v>
      </c>
      <c r="T5" s="28">
        <v>4655</v>
      </c>
      <c r="U5" s="29">
        <v>0.39999999999999991</v>
      </c>
    </row>
    <row r="6" spans="1:25" x14ac:dyDescent="0.25">
      <c r="A6" s="16" t="s">
        <v>11</v>
      </c>
      <c r="B6" s="67">
        <v>87543.972263392861</v>
      </c>
      <c r="C6" s="45">
        <v>122561.56116874999</v>
      </c>
      <c r="D6" s="45">
        <v>3502</v>
      </c>
      <c r="E6" s="17">
        <v>0.39999999999999986</v>
      </c>
      <c r="F6" s="18">
        <v>90446.857142857159</v>
      </c>
      <c r="G6" s="19">
        <v>126625.60000000001</v>
      </c>
      <c r="H6" s="19">
        <v>3618</v>
      </c>
      <c r="I6" s="20">
        <v>0.3999999999999998</v>
      </c>
      <c r="J6" s="21">
        <v>92934.14571428574</v>
      </c>
      <c r="K6" s="22">
        <v>130107.80400000002</v>
      </c>
      <c r="L6" s="22">
        <v>3717</v>
      </c>
      <c r="M6" s="23">
        <v>0.3999999999999998</v>
      </c>
      <c r="N6" s="24">
        <v>95722.170085714301</v>
      </c>
      <c r="O6" s="25">
        <v>134011.03812000001</v>
      </c>
      <c r="P6" s="25">
        <v>3829</v>
      </c>
      <c r="Q6" s="26">
        <v>0.39999999999999991</v>
      </c>
      <c r="R6" s="27">
        <v>98593.835188285724</v>
      </c>
      <c r="S6" s="28">
        <v>138031.36926360001</v>
      </c>
      <c r="T6" s="28">
        <v>3944</v>
      </c>
      <c r="U6" s="29">
        <v>0.39999999999999991</v>
      </c>
    </row>
    <row r="7" spans="1:25" x14ac:dyDescent="0.25">
      <c r="A7" s="16" t="s">
        <v>12</v>
      </c>
      <c r="B7" s="67">
        <v>69876.410218749996</v>
      </c>
      <c r="C7" s="45">
        <v>97826.974306249991</v>
      </c>
      <c r="D7" s="45">
        <v>2795</v>
      </c>
      <c r="E7" s="17">
        <v>0.39999999999999997</v>
      </c>
      <c r="F7" s="18">
        <v>71623.320474218737</v>
      </c>
      <c r="G7" s="19">
        <v>100272.64866390624</v>
      </c>
      <c r="H7" s="19">
        <v>2865</v>
      </c>
      <c r="I7" s="20">
        <v>0.4</v>
      </c>
      <c r="J7" s="21">
        <v>73592.961787259774</v>
      </c>
      <c r="K7" s="22">
        <v>103030.14650216367</v>
      </c>
      <c r="L7" s="22">
        <v>2944</v>
      </c>
      <c r="M7" s="23">
        <v>0.3999999999999998</v>
      </c>
      <c r="N7" s="24">
        <v>75800.750640877552</v>
      </c>
      <c r="O7" s="25">
        <v>106121.05089722858</v>
      </c>
      <c r="P7" s="25">
        <v>3032</v>
      </c>
      <c r="Q7" s="26">
        <v>0.4</v>
      </c>
      <c r="R7" s="27">
        <v>78074.773160103883</v>
      </c>
      <c r="S7" s="28">
        <v>109304.68242414543</v>
      </c>
      <c r="T7" s="28">
        <v>3123</v>
      </c>
      <c r="U7" s="29">
        <v>0.39999999999999991</v>
      </c>
    </row>
    <row r="8" spans="1:25" x14ac:dyDescent="0.25">
      <c r="A8" s="16" t="s">
        <v>13</v>
      </c>
      <c r="B8" s="67">
        <v>102757.58178125002</v>
      </c>
      <c r="C8" s="45">
        <v>143860.61449375001</v>
      </c>
      <c r="D8" s="45">
        <v>4110</v>
      </c>
      <c r="E8" s="17">
        <v>0.39999999999999986</v>
      </c>
      <c r="F8" s="18">
        <v>105326.52132578126</v>
      </c>
      <c r="G8" s="19">
        <v>147457.12985609376</v>
      </c>
      <c r="H8" s="19">
        <v>4213</v>
      </c>
      <c r="I8" s="20">
        <v>0.39999999999999997</v>
      </c>
      <c r="J8" s="21">
        <v>108223.00066224026</v>
      </c>
      <c r="K8" s="22">
        <v>151512.20092713635</v>
      </c>
      <c r="L8" s="22">
        <v>4329</v>
      </c>
      <c r="M8" s="23">
        <v>0.39999999999999991</v>
      </c>
      <c r="N8" s="24">
        <v>111469.69068210747</v>
      </c>
      <c r="O8" s="25">
        <v>156057.56</v>
      </c>
      <c r="P8" s="25">
        <v>4459</v>
      </c>
      <c r="Q8" s="26">
        <v>0.4</v>
      </c>
      <c r="R8" s="27">
        <v>114813.78140257069</v>
      </c>
      <c r="S8" s="28">
        <v>160739.29396359896</v>
      </c>
      <c r="T8" s="28">
        <v>4593</v>
      </c>
      <c r="U8" s="29">
        <v>0.39999999999999997</v>
      </c>
    </row>
    <row r="9" spans="1:25" x14ac:dyDescent="0.25">
      <c r="A9" s="16" t="s">
        <v>14</v>
      </c>
      <c r="B9" s="67">
        <v>87543.972263392861</v>
      </c>
      <c r="C9" s="45">
        <v>122561.56116874999</v>
      </c>
      <c r="D9" s="45">
        <v>3502</v>
      </c>
      <c r="E9" s="17">
        <v>0.39999999999999986</v>
      </c>
      <c r="F9" s="18">
        <v>89732.571569977663</v>
      </c>
      <c r="G9" s="19">
        <v>125625.60019796873</v>
      </c>
      <c r="H9" s="19">
        <v>3590</v>
      </c>
      <c r="I9" s="20">
        <v>0.4</v>
      </c>
      <c r="J9" s="21">
        <v>92200.217288152053</v>
      </c>
      <c r="K9" s="22">
        <v>129080.30420341287</v>
      </c>
      <c r="L9" s="22">
        <v>3688</v>
      </c>
      <c r="M9" s="23">
        <v>0.4</v>
      </c>
      <c r="N9" s="24">
        <v>94966.223806796625</v>
      </c>
      <c r="O9" s="25">
        <v>132952.71332951527</v>
      </c>
      <c r="P9" s="25">
        <v>3799</v>
      </c>
      <c r="Q9" s="26">
        <v>0.4</v>
      </c>
      <c r="R9" s="27">
        <v>97815.210521000539</v>
      </c>
      <c r="S9" s="28">
        <v>136941.29472940075</v>
      </c>
      <c r="T9" s="28">
        <v>3913</v>
      </c>
      <c r="U9" s="29">
        <v>0.39999999999999991</v>
      </c>
    </row>
    <row r="10" spans="1:25" x14ac:dyDescent="0.25">
      <c r="A10" s="16" t="s">
        <v>15</v>
      </c>
      <c r="B10" s="67">
        <v>78412.96875</v>
      </c>
      <c r="C10" s="45">
        <v>109778.15625</v>
      </c>
      <c r="D10" s="45">
        <v>3137</v>
      </c>
      <c r="E10" s="17">
        <v>0.4</v>
      </c>
      <c r="F10" s="18">
        <v>80373.29296875</v>
      </c>
      <c r="G10" s="19">
        <v>112522.61015625</v>
      </c>
      <c r="H10" s="19">
        <v>3215</v>
      </c>
      <c r="I10" s="20">
        <v>0.39999999999999997</v>
      </c>
      <c r="J10" s="21">
        <v>82583.558525390632</v>
      </c>
      <c r="K10" s="22">
        <v>115616.99</v>
      </c>
      <c r="L10" s="22">
        <v>3303</v>
      </c>
      <c r="M10" s="23">
        <v>0.39999999999999991</v>
      </c>
      <c r="N10" s="24">
        <v>85061.065281152361</v>
      </c>
      <c r="O10" s="25">
        <v>119085.5</v>
      </c>
      <c r="P10" s="25">
        <v>3402</v>
      </c>
      <c r="Q10" s="26">
        <v>0.39999999999999986</v>
      </c>
      <c r="R10" s="27">
        <v>87612.897239586935</v>
      </c>
      <c r="S10" s="28">
        <v>122658.05613542169</v>
      </c>
      <c r="T10" s="28">
        <v>3505</v>
      </c>
      <c r="U10" s="29">
        <v>0.3999999999999998</v>
      </c>
    </row>
    <row r="11" spans="1:25" x14ac:dyDescent="0.25">
      <c r="A11" s="16" t="s">
        <v>16</v>
      </c>
      <c r="B11" s="67">
        <v>115819.68879464285</v>
      </c>
      <c r="C11" s="45">
        <v>162147.56431249998</v>
      </c>
      <c r="D11" s="45">
        <v>4633</v>
      </c>
      <c r="E11" s="17">
        <v>0.39999999999999991</v>
      </c>
      <c r="F11" s="18">
        <v>118715.1810145089</v>
      </c>
      <c r="G11" s="19">
        <v>166201.25342031245</v>
      </c>
      <c r="H11" s="19">
        <v>4749</v>
      </c>
      <c r="I11" s="20">
        <v>0.39999999999999997</v>
      </c>
      <c r="J11" s="21">
        <v>121979.84849240789</v>
      </c>
      <c r="K11" s="22">
        <v>170771.78</v>
      </c>
      <c r="L11" s="22">
        <v>4879</v>
      </c>
      <c r="M11" s="23">
        <v>0.39999999999999991</v>
      </c>
      <c r="N11" s="24">
        <v>125639.25</v>
      </c>
      <c r="O11" s="25">
        <v>175894.94152605219</v>
      </c>
      <c r="P11" s="25">
        <v>5026</v>
      </c>
      <c r="Q11" s="26">
        <v>0.39999999999999991</v>
      </c>
      <c r="R11" s="27">
        <v>129408.42126559556</v>
      </c>
      <c r="S11" s="28">
        <v>181171.78</v>
      </c>
      <c r="T11" s="28">
        <v>5176</v>
      </c>
      <c r="U11" s="29">
        <v>0.39999999999999991</v>
      </c>
    </row>
    <row r="12" spans="1:25" x14ac:dyDescent="0.25">
      <c r="A12" s="16" t="s">
        <v>17</v>
      </c>
      <c r="B12" s="67">
        <v>92545.972879464287</v>
      </c>
      <c r="C12" s="45">
        <v>129564.36203125</v>
      </c>
      <c r="D12" s="45">
        <v>3702</v>
      </c>
      <c r="E12" s="17">
        <v>0.39999999999999997</v>
      </c>
      <c r="F12" s="18">
        <v>94859.622201450882</v>
      </c>
      <c r="G12" s="19">
        <v>132803.47108203123</v>
      </c>
      <c r="H12" s="19">
        <v>3795</v>
      </c>
      <c r="I12" s="20">
        <v>0.39999999999999997</v>
      </c>
      <c r="J12" s="21">
        <v>97468.2618119908</v>
      </c>
      <c r="K12" s="22">
        <v>136455.56</v>
      </c>
      <c r="L12" s="22">
        <v>3899</v>
      </c>
      <c r="M12" s="23">
        <v>0.39999999999999991</v>
      </c>
      <c r="N12" s="24">
        <v>100392.30966635053</v>
      </c>
      <c r="O12" s="25">
        <v>140549.23353289074</v>
      </c>
      <c r="P12" s="25">
        <v>4016</v>
      </c>
      <c r="Q12" s="26">
        <v>0.39999999999999997</v>
      </c>
      <c r="R12" s="27">
        <v>103404.07895634105</v>
      </c>
      <c r="S12" s="28">
        <v>144765.71053887747</v>
      </c>
      <c r="T12" s="28">
        <v>4136</v>
      </c>
      <c r="U12" s="29">
        <v>0.39999999999999997</v>
      </c>
    </row>
    <row r="13" spans="1:25" x14ac:dyDescent="0.25">
      <c r="A13" s="16" t="s">
        <v>18</v>
      </c>
      <c r="B13" s="67">
        <v>80291.89283928572</v>
      </c>
      <c r="C13" s="45">
        <v>112408.64997499999</v>
      </c>
      <c r="D13" s="45">
        <v>3212</v>
      </c>
      <c r="E13" s="17">
        <v>0.3999999999999998</v>
      </c>
      <c r="F13" s="18">
        <v>82299.190160267855</v>
      </c>
      <c r="G13" s="19">
        <v>115218.86622437499</v>
      </c>
      <c r="H13" s="19">
        <v>3292</v>
      </c>
      <c r="I13" s="20">
        <v>0.39999999999999986</v>
      </c>
      <c r="J13" s="21">
        <v>84562.417889675227</v>
      </c>
      <c r="K13" s="22">
        <v>118387.38504554531</v>
      </c>
      <c r="L13" s="22">
        <v>3383</v>
      </c>
      <c r="M13" s="23">
        <v>0.39999999999999986</v>
      </c>
      <c r="N13" s="24">
        <v>87099.290426365478</v>
      </c>
      <c r="O13" s="25">
        <v>121939.00659691167</v>
      </c>
      <c r="P13" s="25">
        <v>3484</v>
      </c>
      <c r="Q13" s="26">
        <v>0.4</v>
      </c>
      <c r="R13" s="27">
        <v>89712.269139156459</v>
      </c>
      <c r="S13" s="28">
        <v>125597.17679481902</v>
      </c>
      <c r="T13" s="28">
        <v>3588</v>
      </c>
      <c r="U13" s="29">
        <v>0.3999999999999998</v>
      </c>
    </row>
    <row r="14" spans="1:25" ht="15.75" thickBot="1" x14ac:dyDescent="0.3">
      <c r="A14" s="16" t="s">
        <v>19</v>
      </c>
      <c r="B14" s="68">
        <v>69712.863169642864</v>
      </c>
      <c r="C14" s="31">
        <v>97598.008437500001</v>
      </c>
      <c r="D14" s="31">
        <v>2789</v>
      </c>
      <c r="E14" s="32">
        <v>0.39999999999999986</v>
      </c>
      <c r="F14" s="33">
        <v>71455.684748883927</v>
      </c>
      <c r="G14" s="34">
        <v>100037.95864843749</v>
      </c>
      <c r="H14" s="34">
        <v>2859</v>
      </c>
      <c r="I14" s="35">
        <v>0.39999999999999986</v>
      </c>
      <c r="J14" s="36">
        <v>73420.716079478239</v>
      </c>
      <c r="K14" s="37">
        <v>102789.00251126953</v>
      </c>
      <c r="L14" s="37">
        <v>2937</v>
      </c>
      <c r="M14" s="38">
        <v>0.39999999999999991</v>
      </c>
      <c r="N14" s="39">
        <v>75623.33</v>
      </c>
      <c r="O14" s="40">
        <v>105872.67258660762</v>
      </c>
      <c r="P14" s="40">
        <v>3025</v>
      </c>
      <c r="Q14" s="41">
        <v>0.39999999999999991</v>
      </c>
      <c r="R14" s="42">
        <v>77892.03</v>
      </c>
      <c r="S14" s="43">
        <v>109048.85276420585</v>
      </c>
      <c r="T14" s="43">
        <v>3116</v>
      </c>
      <c r="U14" s="44">
        <v>0.39999999999999991</v>
      </c>
    </row>
    <row r="76" spans="1:1" x14ac:dyDescent="0.25">
      <c r="A76" t="s">
        <v>21</v>
      </c>
    </row>
    <row r="77" spans="1:1" x14ac:dyDescent="0.25">
      <c r="A77" t="s">
        <v>24</v>
      </c>
    </row>
    <row r="78" spans="1:1" x14ac:dyDescent="0.25">
      <c r="A78" t="s">
        <v>23</v>
      </c>
    </row>
    <row r="79" spans="1:1" x14ac:dyDescent="0.25">
      <c r="A79" t="s">
        <v>22</v>
      </c>
    </row>
  </sheetData>
  <sheetProtection algorithmName="SHA-512" hashValue="d/4umme9chJDGUAxUGPjFi4re/B2qywDjuk7QZwuAlhZd3dkrgXqkFuibW15s52BzVwUhYWy1y/Ow5eOFlAmkg==" saltValue="0wf9hrt4Oc09352/KUDKyQ==" spinCount="100000" sheet="1" objects="1" scenarios="1"/>
  <mergeCells count="5">
    <mergeCell ref="B1:E1"/>
    <mergeCell ref="F1:I1"/>
    <mergeCell ref="J1:M1"/>
    <mergeCell ref="N1:Q1"/>
    <mergeCell ref="R1:U1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Salary Calculator</vt:lpstr>
      <vt:lpstr>Scales</vt:lpstr>
      <vt:lpstr>'Salary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Gerlach</dc:creator>
  <cp:lastModifiedBy>Jamie Gerlach</cp:lastModifiedBy>
  <cp:lastPrinted>2025-01-27T21:24:29Z</cp:lastPrinted>
  <dcterms:created xsi:type="dcterms:W3CDTF">2024-10-30T18:09:35Z</dcterms:created>
  <dcterms:modified xsi:type="dcterms:W3CDTF">2025-01-27T21:25:12Z</dcterms:modified>
</cp:coreProperties>
</file>