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HRADMIN\HRIS\Reference\Compensation\Dave's\Bargaining\UMFA\2021\Salary Calculator\"/>
    </mc:Choice>
  </mc:AlternateContent>
  <xr:revisionPtr revIDLastSave="0" documentId="8_{51CACDF6-08E5-495B-BF8B-AB0DE78A65D6}" xr6:coauthVersionLast="46" xr6:coauthVersionMax="46"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 name="Sheet4" sheetId="4" r:id="rId4"/>
    <sheet name="Sheet5"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 i="1" l="1"/>
  <c r="J13" i="1"/>
  <c r="L13" i="1"/>
  <c r="I13" i="1"/>
  <c r="H13" i="1"/>
  <c r="E13" i="5"/>
  <c r="E12" i="5"/>
  <c r="E11" i="5"/>
  <c r="E9" i="5"/>
  <c r="E8" i="5"/>
  <c r="E6" i="5"/>
  <c r="E5" i="5"/>
  <c r="E4" i="5"/>
  <c r="B29" i="1"/>
  <c r="B13" i="1"/>
  <c r="N27" i="1" l="1"/>
  <c r="N28" i="1" s="1"/>
  <c r="N29" i="1" s="1"/>
  <c r="M27" i="1"/>
  <c r="M28" i="1" s="1"/>
  <c r="M29" i="1" s="1"/>
  <c r="L27" i="1"/>
  <c r="L28" i="1" s="1"/>
  <c r="L29" i="1" s="1"/>
  <c r="I27" i="1"/>
  <c r="I28" i="1" s="1"/>
  <c r="I29" i="1" s="1"/>
  <c r="J27" i="1"/>
  <c r="K27" i="1"/>
  <c r="H27" i="1"/>
  <c r="H28" i="1" s="1"/>
  <c r="H29" i="1" s="1"/>
  <c r="E27" i="1" l="1"/>
  <c r="F27" i="1" s="1"/>
  <c r="B28" i="1"/>
  <c r="B27" i="1"/>
  <c r="K12" i="1"/>
  <c r="L12" i="1"/>
  <c r="L11" i="1"/>
  <c r="B22" i="1" s="1"/>
  <c r="K11" i="1"/>
  <c r="J11" i="1"/>
  <c r="B21" i="1" s="1"/>
  <c r="I12" i="1"/>
  <c r="I11" i="1"/>
  <c r="H12" i="1"/>
  <c r="H11" i="1"/>
  <c r="E4" i="3"/>
  <c r="E5" i="3"/>
  <c r="E6" i="3"/>
  <c r="E8" i="3"/>
  <c r="E9" i="3"/>
  <c r="E11" i="3"/>
  <c r="E12" i="3"/>
  <c r="E13" i="3"/>
  <c r="C11" i="1" l="1"/>
  <c r="E28" i="1"/>
  <c r="F28" i="1" s="1"/>
  <c r="E29" i="1" s="1"/>
  <c r="F29" i="1" s="1"/>
  <c r="B32" i="1" s="1"/>
  <c r="J12" i="1"/>
  <c r="B12" i="1"/>
  <c r="B11" i="1"/>
  <c r="D11" i="1" l="1"/>
  <c r="C21" i="1" s="1"/>
  <c r="E11" i="1" l="1"/>
  <c r="F11" i="1" s="1"/>
  <c r="C12" i="1" s="1"/>
  <c r="D12" i="1" s="1"/>
  <c r="C22" i="1" s="1"/>
  <c r="E22" i="1" s="1"/>
  <c r="E21" i="1"/>
  <c r="E12" i="1" l="1"/>
  <c r="F12" i="1" s="1"/>
  <c r="C13" i="1"/>
  <c r="D13" i="1" s="1"/>
  <c r="C23" i="1" s="1"/>
  <c r="E13" i="1" s="1"/>
  <c r="E23" i="1" l="1"/>
  <c r="F13" i="1" s="1"/>
  <c r="B19" i="1" l="1"/>
  <c r="B36" i="1" s="1"/>
  <c r="C24" i="1"/>
  <c r="E24" i="1" l="1"/>
</calcChain>
</file>

<file path=xl/sharedStrings.xml><?xml version="1.0" encoding="utf-8"?>
<sst xmlns="http://schemas.openxmlformats.org/spreadsheetml/2006/main" count="101" uniqueCount="36">
  <si>
    <t>General Increase</t>
  </si>
  <si>
    <t>Increment</t>
  </si>
  <si>
    <t>New Base Salary</t>
  </si>
  <si>
    <t>Floor</t>
  </si>
  <si>
    <t>Threshold</t>
  </si>
  <si>
    <t>Job Rate</t>
  </si>
  <si>
    <t>Professor</t>
  </si>
  <si>
    <t>Assoc. Professor</t>
  </si>
  <si>
    <t>Asst. Professor</t>
  </si>
  <si>
    <t>Lecturer</t>
  </si>
  <si>
    <t>Sr Instructor</t>
  </si>
  <si>
    <t>Instructor II</t>
  </si>
  <si>
    <t>Instructor I</t>
  </si>
  <si>
    <t>Librarian</t>
  </si>
  <si>
    <t>Assoc Librarian</t>
  </si>
  <si>
    <t>Asst Librarian</t>
  </si>
  <si>
    <t>General Librarian</t>
  </si>
  <si>
    <t>Maximum</t>
  </si>
  <si>
    <t>Salary Date</t>
  </si>
  <si>
    <t>Salary Scales with Structural Revisions</t>
  </si>
  <si>
    <t>Across the Board General Increases</t>
  </si>
  <si>
    <t>ENTER RANK HERE</t>
  </si>
  <si>
    <t>ENTER SALARY HERE</t>
  </si>
  <si>
    <t>Year 1</t>
  </si>
  <si>
    <t>Year 2+</t>
  </si>
  <si>
    <t>This table shows the actual dollar increase for General Increases and satisfactory Performance Increments as well as what your new base salary would be for each year of the agreement.</t>
  </si>
  <si>
    <t>This table shows the revised salary scales after the structural revisions and General Increases are applied each year.</t>
  </si>
  <si>
    <t>** To use the salary calculator select your rank from the drop down list and then enter your March 31, 2021 salary in the Gold cells.  Once you've entered your rank and salary, the calculator will then show your projected salary in the Green cells based on the salary increases that have currently been proposed by the University for the life of a 2 year collective agreement.</t>
  </si>
  <si>
    <t>Status Quo salary schedules with 0% General Increase</t>
  </si>
  <si>
    <t>Status Quo Salary Scales</t>
  </si>
  <si>
    <t>Status Quo</t>
  </si>
  <si>
    <t>Total salary increase under UM's proposal</t>
  </si>
  <si>
    <t>Existing salary increase under the current collective agreement</t>
  </si>
  <si>
    <t>New salary increase under UM's proposal</t>
  </si>
  <si>
    <t>Special Adjustment</t>
  </si>
  <si>
    <t>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</si>
</sst>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164" formatCode="[$-409]mmmm\ d\,\ yyyy;@"/>
    <numFmt numFmtId="165" formatCode="&quot;$&quot;#,##0.00"/>
    <numFmt numFmtId="166" formatCode="&quot;$&quot;#,##0"/>
  </numFmts>
  <fonts count="4"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2" borderId="0" xfId="0" applyFill="1" applyAlignment="1">
      <alignment horizontal="center"/>
    </xf>
    <xf numFmtId="165" fontId="0" fillId="2" borderId="0" xfId="0" applyNumberFormat="1" applyFill="1" applyAlignment="1">
      <alignment horizontal="center"/>
    </xf>
    <xf numFmtId="0" fontId="0" fillId="2" borderId="1" xfId="0" applyFill="1" applyBorder="1" applyAlignment="1">
      <alignment horizontal="center"/>
    </xf>
    <xf numFmtId="165" fontId="0" fillId="2" borderId="1" xfId="0" applyNumberFormat="1" applyFill="1" applyBorder="1" applyAlignment="1">
      <alignment horizontal="center"/>
    </xf>
    <xf numFmtId="164" fontId="0" fillId="2" borderId="1" xfId="0" applyNumberFormat="1" applyFill="1" applyBorder="1" applyAlignment="1">
      <alignment horizontal="center"/>
    </xf>
    <xf numFmtId="10" fontId="0" fillId="2" borderId="1" xfId="0" applyNumberFormat="1" applyFill="1" applyBorder="1" applyAlignment="1">
      <alignment horizontal="center"/>
    </xf>
    <xf numFmtId="0" fontId="0" fillId="3" borderId="1" xfId="0" applyFill="1" applyBorder="1" applyAlignment="1" applyProtection="1">
      <alignment horizontal="center"/>
      <protection locked="0"/>
    </xf>
    <xf numFmtId="165" fontId="0" fillId="3" borderId="1" xfId="0" applyNumberFormat="1" applyFill="1" applyBorder="1" applyAlignment="1" applyProtection="1">
      <alignment horizontal="center"/>
      <protection locked="0"/>
    </xf>
    <xf numFmtId="165" fontId="0" fillId="4" borderId="1" xfId="0" applyNumberFormat="1" applyFill="1" applyBorder="1" applyAlignment="1">
      <alignment horizontal="center"/>
    </xf>
    <xf numFmtId="0" fontId="1" fillId="5" borderId="1" xfId="0" applyFont="1" applyFill="1" applyBorder="1" applyAlignment="1">
      <alignment horizontal="center"/>
    </xf>
    <xf numFmtId="0" fontId="0" fillId="2" borderId="1" xfId="0" applyFill="1" applyBorder="1" applyAlignment="1">
      <alignment horizontal="center"/>
    </xf>
    <xf numFmtId="166" fontId="0" fillId="2" borderId="1" xfId="0" applyNumberFormat="1" applyFill="1" applyBorder="1" applyAlignment="1">
      <alignment horizontal="center"/>
    </xf>
    <xf numFmtId="0" fontId="0" fillId="2" borderId="1" xfId="0" applyFill="1" applyBorder="1" applyAlignment="1">
      <alignment horizontal="center"/>
    </xf>
    <xf numFmtId="0" fontId="2" fillId="2" borderId="0" xfId="0" applyFont="1" applyFill="1" applyAlignment="1">
      <alignment horizontal="center"/>
    </xf>
    <xf numFmtId="0" fontId="2" fillId="2" borderId="0" xfId="0" applyFont="1" applyFill="1" applyBorder="1" applyAlignment="1">
      <alignment horizontal="center"/>
    </xf>
    <xf numFmtId="165" fontId="2" fillId="2" borderId="0" xfId="0" applyNumberFormat="1" applyFont="1" applyFill="1" applyAlignment="1">
      <alignment horizontal="center"/>
    </xf>
    <xf numFmtId="165" fontId="2" fillId="2" borderId="0" xfId="0" applyNumberFormat="1" applyFont="1" applyFill="1" applyBorder="1" applyAlignment="1">
      <alignment horizontal="center"/>
    </xf>
    <xf numFmtId="0" fontId="0" fillId="2" borderId="1" xfId="0" applyFill="1" applyBorder="1" applyAlignment="1">
      <alignment horizontal="center"/>
    </xf>
    <xf numFmtId="0" fontId="2" fillId="0" borderId="0" xfId="0" applyFont="1" applyFill="1"/>
    <xf numFmtId="6" fontId="2" fillId="0" borderId="0" xfId="0" applyNumberFormat="1" applyFont="1" applyFill="1"/>
    <xf numFmtId="165" fontId="0" fillId="7" borderId="1" xfId="0" applyNumberFormat="1" applyFill="1" applyBorder="1" applyAlignment="1">
      <alignment horizontal="center"/>
    </xf>
    <xf numFmtId="166" fontId="0" fillId="2" borderId="0" xfId="0" applyNumberFormat="1" applyFill="1" applyAlignment="1">
      <alignment horizontal="center"/>
    </xf>
    <xf numFmtId="0" fontId="0" fillId="2" borderId="0" xfId="0" applyFill="1" applyBorder="1" applyAlignment="1">
      <alignment horizontal="center" vertical="center" wrapText="1"/>
    </xf>
    <xf numFmtId="0" fontId="2" fillId="0" borderId="0" xfId="0" applyFont="1"/>
    <xf numFmtId="0" fontId="3" fillId="2" borderId="1" xfId="0" applyFont="1" applyFill="1" applyBorder="1" applyAlignment="1">
      <alignment horizontal="center"/>
    </xf>
    <xf numFmtId="166" fontId="3" fillId="2" borderId="1" xfId="0" applyNumberFormat="1" applyFont="1" applyFill="1" applyBorder="1" applyAlignment="1">
      <alignment horizontal="center"/>
    </xf>
    <xf numFmtId="166" fontId="2" fillId="0" borderId="0" xfId="0" applyNumberFormat="1" applyFont="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1" fillId="2" borderId="1" xfId="0" applyFont="1" applyFill="1" applyBorder="1" applyAlignment="1">
      <alignment horizontal="center"/>
    </xf>
    <xf numFmtId="10" fontId="1" fillId="8" borderId="1" xfId="0" applyNumberFormat="1" applyFont="1" applyFill="1" applyBorder="1" applyAlignment="1">
      <alignment horizontal="center"/>
    </xf>
    <xf numFmtId="0" fontId="1" fillId="8" borderId="1" xfId="0" applyFont="1" applyFill="1" applyBorder="1" applyAlignment="1">
      <alignment horizontal="center"/>
    </xf>
    <xf numFmtId="0" fontId="1" fillId="6" borderId="1" xfId="0" applyFont="1" applyFill="1" applyBorder="1" applyAlignment="1">
      <alignment horizontal="center"/>
    </xf>
    <xf numFmtId="10" fontId="1" fillId="7" borderId="1" xfId="0" applyNumberFormat="1" applyFont="1" applyFill="1" applyBorder="1" applyAlignment="1">
      <alignment horizontal="center"/>
    </xf>
    <xf numFmtId="0" fontId="1" fillId="6" borderId="10" xfId="0" applyFont="1" applyFill="1" applyBorder="1" applyAlignment="1">
      <alignment horizontal="center"/>
    </xf>
    <xf numFmtId="0" fontId="1" fillId="6" borderId="11" xfId="0" applyFont="1" applyFill="1" applyBorder="1" applyAlignment="1">
      <alignment horizontal="center"/>
    </xf>
    <xf numFmtId="0" fontId="1" fillId="6" borderId="12" xfId="0" applyFont="1" applyFill="1" applyBorder="1" applyAlignment="1">
      <alignment horizontal="center"/>
    </xf>
    <xf numFmtId="10" fontId="1" fillId="4" borderId="1" xfId="0" applyNumberFormat="1" applyFont="1" applyFill="1" applyBorder="1" applyAlignment="1">
      <alignment horizontal="center"/>
    </xf>
    <xf numFmtId="0" fontId="0" fillId="2" borderId="1" xfId="0" applyFill="1" applyBorder="1" applyAlignment="1">
      <alignment horizontal="center"/>
    </xf>
    <xf numFmtId="0" fontId="0" fillId="2" borderId="4" xfId="0"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horizontal="center" vertical="center" wrapTex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1">
    <cellStyle name="Normal"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N36"/>
  <sheetViews>
    <sheetView tabSelected="1" zoomScale="120" zoomScaleNormal="120" workbookViewId="0">
      <selection activeCell="C7" sqref="C7:C8"/>
    </sheetView>
  </sheetViews>
  <sheetFormatPr defaultColWidth="9.140625" defaultRowHeight="15" x14ac:dyDescent="0.25"/>
  <cols>
    <col min="1" max="1" width="2.140625" style="1" customWidth="1"/>
    <col min="2" max="2" width="18.7109375" style="1" customWidth="1"/>
    <col min="3" max="3" width="18.42578125" style="1" bestFit="1" customWidth="1"/>
    <col min="4" max="4" width="17.140625" style="1" customWidth="1"/>
    <col min="5" max="5" width="15.5703125" style="1" bestFit="1" customWidth="1"/>
    <col min="6" max="6" width="14.85546875" style="1" customWidth="1"/>
    <col min="7" max="7" width="3.28515625" style="14" customWidth="1"/>
    <col min="8" max="8" width="12.28515625" style="1" customWidth="1"/>
    <col min="9" max="9" width="10.85546875" style="1" bestFit="1" customWidth="1"/>
    <col min="10" max="10" width="11.140625" style="1" hidden="1" customWidth="1"/>
    <col min="11" max="11" width="10.28515625" style="1" hidden="1" customWidth="1"/>
    <col min="12" max="12" width="11.140625" style="1" bestFit="1" customWidth="1"/>
    <col min="13" max="13" width="9.140625" style="1"/>
    <col min="14" max="14" width="10.85546875" style="1" bestFit="1" customWidth="1"/>
    <col min="15" max="16384" width="9.140625" style="1"/>
  </cols>
  <sheetData>
    <row r="2" spans="2:12" ht="15" customHeight="1" x14ac:dyDescent="0.25">
      <c r="B2" s="40" t="s">
        <v>20</v>
      </c>
      <c r="C2" s="40"/>
      <c r="D2" s="45" t="s">
        <v>27</v>
      </c>
      <c r="E2" s="45"/>
      <c r="F2" s="45"/>
      <c r="G2" s="45"/>
      <c r="H2" s="45"/>
      <c r="I2" s="45"/>
      <c r="J2" s="45"/>
      <c r="K2" s="45"/>
      <c r="L2" s="45"/>
    </row>
    <row r="3" spans="2:12" x14ac:dyDescent="0.25">
      <c r="B3" s="5">
        <v>44287</v>
      </c>
      <c r="C3" s="6">
        <v>1.2500000000000001E-2</v>
      </c>
      <c r="D3" s="45"/>
      <c r="E3" s="45"/>
      <c r="F3" s="45"/>
      <c r="G3" s="45"/>
      <c r="H3" s="45"/>
      <c r="I3" s="45"/>
      <c r="J3" s="45"/>
      <c r="K3" s="45"/>
      <c r="L3" s="45"/>
    </row>
    <row r="4" spans="2:12" x14ac:dyDescent="0.25">
      <c r="B4" s="5">
        <v>44652</v>
      </c>
      <c r="C4" s="6">
        <v>1.4999999999999999E-2</v>
      </c>
      <c r="D4" s="45"/>
      <c r="E4" s="45"/>
      <c r="F4" s="45"/>
      <c r="G4" s="45"/>
      <c r="H4" s="45"/>
      <c r="I4" s="45"/>
      <c r="J4" s="45"/>
      <c r="K4" s="45"/>
      <c r="L4" s="45"/>
    </row>
    <row r="5" spans="2:12" x14ac:dyDescent="0.25">
      <c r="B5" s="5">
        <v>45017</v>
      </c>
      <c r="C5" s="6">
        <v>1.7500000000000002E-2</v>
      </c>
      <c r="D5" s="45"/>
      <c r="E5" s="45"/>
      <c r="F5" s="45"/>
      <c r="G5" s="45"/>
      <c r="H5" s="45"/>
      <c r="I5" s="45"/>
      <c r="J5" s="45"/>
      <c r="K5" s="45"/>
      <c r="L5" s="45"/>
    </row>
    <row r="6" spans="2:12" x14ac:dyDescent="0.25">
      <c r="D6" s="23"/>
      <c r="E6" s="23"/>
      <c r="F6" s="23"/>
      <c r="G6" s="23"/>
      <c r="H6" s="23"/>
      <c r="I6" s="23"/>
      <c r="J6" s="23"/>
      <c r="K6" s="23"/>
      <c r="L6" s="23"/>
    </row>
    <row r="7" spans="2:12" x14ac:dyDescent="0.25">
      <c r="B7" s="10" t="s">
        <v>21</v>
      </c>
      <c r="C7" s="7" t="s">
        <v>8</v>
      </c>
    </row>
    <row r="8" spans="2:12" x14ac:dyDescent="0.25">
      <c r="B8" s="10" t="s">
        <v>22</v>
      </c>
      <c r="C8" s="8">
        <v>120000</v>
      </c>
    </row>
    <row r="9" spans="2:12" x14ac:dyDescent="0.25">
      <c r="H9" s="40" t="s">
        <v>19</v>
      </c>
      <c r="I9" s="40"/>
      <c r="J9" s="40"/>
      <c r="K9" s="40"/>
      <c r="L9" s="40"/>
    </row>
    <row r="10" spans="2:12" x14ac:dyDescent="0.25">
      <c r="B10" s="3" t="s">
        <v>18</v>
      </c>
      <c r="C10" s="13" t="s">
        <v>34</v>
      </c>
      <c r="D10" s="11" t="s">
        <v>0</v>
      </c>
      <c r="E10" s="11" t="s">
        <v>1</v>
      </c>
      <c r="F10" s="11" t="s">
        <v>2</v>
      </c>
      <c r="G10" s="15"/>
      <c r="H10" s="3" t="s">
        <v>3</v>
      </c>
      <c r="I10" s="3" t="s">
        <v>1</v>
      </c>
      <c r="J10" s="25" t="s">
        <v>4</v>
      </c>
      <c r="K10" s="25" t="s">
        <v>1</v>
      </c>
      <c r="L10" s="3" t="s">
        <v>17</v>
      </c>
    </row>
    <row r="11" spans="2:12" x14ac:dyDescent="0.25">
      <c r="B11" s="5">
        <f>B3</f>
        <v>44287</v>
      </c>
      <c r="C11" s="2">
        <f>B21+B22</f>
        <v>4000</v>
      </c>
      <c r="D11" s="4">
        <f>(C8+C11)*C3</f>
        <v>1550</v>
      </c>
      <c r="E11" s="4">
        <f>IF(C21&lt;J11,I11,IF(C21&gt;L11,0,IF(C21+K11&gt;L11,E21,K11)))</f>
        <v>0</v>
      </c>
      <c r="F11" s="9">
        <f>C8+C11+D11+E11</f>
        <v>125550</v>
      </c>
      <c r="G11" s="17"/>
      <c r="H11" s="12">
        <f>VLOOKUP($C7,Sheet2!$A3:$G13,3,FALSE)</f>
        <v>78150.66</v>
      </c>
      <c r="I11" s="12">
        <f>VLOOKUP($C$7,Sheet2!$A3:$G13,4,FALSE)</f>
        <v>3256</v>
      </c>
      <c r="J11" s="26">
        <f>VLOOKUP($C7,Sheet2!$A3:$G13,5,FALSE)</f>
        <v>97386</v>
      </c>
      <c r="K11" s="26">
        <f>VLOOKUP($C7,Sheet2!$A3:$G13,6,FALSE)</f>
        <v>3256</v>
      </c>
      <c r="L11" s="12">
        <f>VLOOKUP($C7,Sheet2!$A3:$G13,7,FALSE)</f>
        <v>117227</v>
      </c>
    </row>
    <row r="12" spans="2:12" x14ac:dyDescent="0.25">
      <c r="B12" s="5">
        <f>B4</f>
        <v>44652</v>
      </c>
      <c r="C12" s="4">
        <f>IF(F11&lt;H12,H12-F11,0)</f>
        <v>0</v>
      </c>
      <c r="D12" s="4">
        <f>(F11+C12)*C4</f>
        <v>1883.25</v>
      </c>
      <c r="E12" s="4">
        <f t="shared" ref="E12" si="0">IF(C22&lt;J12,I12,IF(C22&gt;L12,0,IF(C22+K12&gt;L12,E22,K12)))</f>
        <v>0</v>
      </c>
      <c r="F12" s="9">
        <f>D12+E12+F11+C12</f>
        <v>127433.25</v>
      </c>
      <c r="G12" s="17"/>
      <c r="H12" s="12">
        <f>VLOOKUP($C7,Sheet3!$A3:$G13,3,FALSE)</f>
        <v>84989.574999999997</v>
      </c>
      <c r="I12" s="12">
        <f>VLOOKUP($C$7,Sheet3!$A3:$G13,4,FALSE)</f>
        <v>3400</v>
      </c>
      <c r="J12" s="26">
        <f>VLOOKUP($C7,Sheet3!$A3:$G13,5,FALSE)</f>
        <v>98603</v>
      </c>
      <c r="K12" s="26">
        <f>VLOOKUP($C7,Sheet3!$A3:$G13,6,FALSE)</f>
        <v>3400</v>
      </c>
      <c r="L12" s="12">
        <f>VLOOKUP($C7,Sheet3!$A3:$G13,7,FALSE)</f>
        <v>118985.40499999998</v>
      </c>
    </row>
    <row r="13" spans="2:12" x14ac:dyDescent="0.25">
      <c r="B13" s="5">
        <f>B5</f>
        <v>45017</v>
      </c>
      <c r="C13" s="4">
        <f>IF(F12&lt;H13,H13-F12,0)</f>
        <v>0</v>
      </c>
      <c r="D13" s="4">
        <f>(F12+C13)*C5</f>
        <v>2230.0818750000003</v>
      </c>
      <c r="E13" s="4">
        <f>IF(C23&lt;J13,I13,IF(C23&gt;L13,0,IF(C23+K13&gt;L13,E23,K13)))</f>
        <v>0</v>
      </c>
      <c r="F13" s="9">
        <f>D13+E13+F12+C13</f>
        <v>129663.331875</v>
      </c>
      <c r="G13" s="17"/>
      <c r="H13" s="12">
        <f>VLOOKUP($C7,Sheet5!$A3:$G14,3,FALSE)</f>
        <v>86477</v>
      </c>
      <c r="I13" s="12">
        <f>VLOOKUP($C$7,Sheet5!$A3:$G14,4,FALSE)</f>
        <v>3460</v>
      </c>
      <c r="J13" s="26">
        <f>VLOOKUP($C7,Sheet5!$A3:$G14,5,FALSE)</f>
        <v>98603</v>
      </c>
      <c r="K13" s="26">
        <f>VLOOKUP($C7,Sheet5!$A3:$G14,6,FALSE)</f>
        <v>3460</v>
      </c>
      <c r="L13" s="12">
        <f>VLOOKUP($C7,Sheet5!$A3:$G14,7,FALSE)</f>
        <v>121068</v>
      </c>
    </row>
    <row r="14" spans="2:12" ht="14.45" customHeight="1" x14ac:dyDescent="0.25">
      <c r="B14" s="41" t="s">
        <v>25</v>
      </c>
      <c r="C14" s="42"/>
      <c r="D14" s="42"/>
      <c r="E14" s="42"/>
      <c r="F14" s="43"/>
      <c r="H14" s="41" t="s">
        <v>26</v>
      </c>
      <c r="I14" s="42"/>
      <c r="J14" s="42"/>
      <c r="K14" s="42"/>
      <c r="L14" s="43"/>
    </row>
    <row r="15" spans="2:12" x14ac:dyDescent="0.25">
      <c r="B15" s="44"/>
      <c r="C15" s="45"/>
      <c r="D15" s="45"/>
      <c r="E15" s="45"/>
      <c r="F15" s="46"/>
      <c r="H15" s="44"/>
      <c r="I15" s="45"/>
      <c r="J15" s="45"/>
      <c r="K15" s="45"/>
      <c r="L15" s="46"/>
    </row>
    <row r="16" spans="2:12" ht="30" customHeight="1" x14ac:dyDescent="0.25">
      <c r="B16" s="47"/>
      <c r="C16" s="48"/>
      <c r="D16" s="48"/>
      <c r="E16" s="48"/>
      <c r="F16" s="49"/>
      <c r="H16" s="47"/>
      <c r="I16" s="48"/>
      <c r="J16" s="48"/>
      <c r="K16" s="48"/>
      <c r="L16" s="49"/>
    </row>
    <row r="18" spans="2:14" x14ac:dyDescent="0.25">
      <c r="B18" s="34" t="s">
        <v>31</v>
      </c>
      <c r="C18" s="34"/>
      <c r="D18" s="34"/>
    </row>
    <row r="19" spans="2:14" x14ac:dyDescent="0.25">
      <c r="B19" s="39">
        <f>(F13/C8)-1</f>
        <v>8.0527765625000081E-2</v>
      </c>
      <c r="C19" s="39"/>
      <c r="D19" s="39"/>
    </row>
    <row r="21" spans="2:14" hidden="1" x14ac:dyDescent="0.25">
      <c r="B21" s="4">
        <f>IF(J11&gt;C8,950,0)</f>
        <v>0</v>
      </c>
      <c r="C21" s="2">
        <f>C8+D11</f>
        <v>121550</v>
      </c>
      <c r="E21" s="2">
        <f>L11-C21</f>
        <v>-4323</v>
      </c>
    </row>
    <row r="22" spans="2:14" hidden="1" x14ac:dyDescent="0.25">
      <c r="B22" s="1">
        <f>IF(C8&gt;L11,4000,0)</f>
        <v>4000</v>
      </c>
      <c r="C22" s="2">
        <f>F11+D12</f>
        <v>127433.25</v>
      </c>
      <c r="E22" s="2">
        <f>L12-C22</f>
        <v>-8447.8450000000157</v>
      </c>
    </row>
    <row r="23" spans="2:14" hidden="1" x14ac:dyDescent="0.25">
      <c r="C23" s="2">
        <f>F12+D13</f>
        <v>129663.331875</v>
      </c>
      <c r="E23" s="2">
        <f>L13-C23</f>
        <v>-8595.3318750000035</v>
      </c>
    </row>
    <row r="24" spans="2:14" hidden="1" x14ac:dyDescent="0.25">
      <c r="C24" s="2" t="e">
        <f>#REF!+#REF!</f>
        <v>#REF!</v>
      </c>
      <c r="E24" s="2" t="e">
        <f>#REF!-C24</f>
        <v>#REF!</v>
      </c>
    </row>
    <row r="25" spans="2:14" x14ac:dyDescent="0.25">
      <c r="B25" s="36" t="s">
        <v>28</v>
      </c>
      <c r="C25" s="37"/>
      <c r="D25" s="38"/>
      <c r="H25" s="28" t="s">
        <v>29</v>
      </c>
      <c r="I25" s="29"/>
      <c r="J25" s="29"/>
      <c r="K25" s="29"/>
      <c r="L25" s="29"/>
      <c r="M25" s="29"/>
      <c r="N25" s="30"/>
    </row>
    <row r="26" spans="2:14" x14ac:dyDescent="0.25">
      <c r="B26" s="18" t="s">
        <v>18</v>
      </c>
      <c r="C26" s="18" t="s">
        <v>34</v>
      </c>
      <c r="D26" s="18" t="s">
        <v>0</v>
      </c>
      <c r="E26" s="18" t="s">
        <v>1</v>
      </c>
      <c r="F26" s="18" t="s">
        <v>2</v>
      </c>
      <c r="H26" s="18" t="s">
        <v>3</v>
      </c>
      <c r="I26" s="18" t="s">
        <v>1</v>
      </c>
      <c r="L26" s="18" t="s">
        <v>4</v>
      </c>
      <c r="M26" s="18" t="s">
        <v>1</v>
      </c>
      <c r="N26" s="18" t="s">
        <v>17</v>
      </c>
    </row>
    <row r="27" spans="2:14" x14ac:dyDescent="0.25">
      <c r="B27" s="5">
        <f>B3</f>
        <v>44287</v>
      </c>
      <c r="C27" s="4">
        <v>0</v>
      </c>
      <c r="D27" s="4">
        <v>0</v>
      </c>
      <c r="E27" s="4">
        <f>IF(C8&lt;L27,I27,IF(C8&lt;N27,M27,0))</f>
        <v>0</v>
      </c>
      <c r="F27" s="21">
        <f>C8+C27+D27+E27</f>
        <v>120000</v>
      </c>
      <c r="H27" s="12">
        <f>VLOOKUP($C7,Sheet4!$A3:G13,3,FALSE)</f>
        <v>73038</v>
      </c>
      <c r="I27" s="12">
        <f>VLOOKUP($C7,Sheet4!$A3:H13,4,FALSE)</f>
        <v>2705</v>
      </c>
      <c r="J27" s="12">
        <f>VLOOKUP($C7,Sheet4!$A3:I13,3,FALSE)</f>
        <v>73038</v>
      </c>
      <c r="K27" s="12">
        <f>VLOOKUP($C7,Sheet4!$A3:J13,3,FALSE)</f>
        <v>73038</v>
      </c>
      <c r="L27" s="12">
        <f>VLOOKUP($C7,Sheet4!$A3:K13,5,FALSE)</f>
        <v>97386</v>
      </c>
      <c r="M27" s="12">
        <f>VLOOKUP($C7,Sheet4!$A3:L13,6,FALSE)</f>
        <v>2028</v>
      </c>
      <c r="N27" s="12">
        <f>VLOOKUP($C7,Sheet4!$A3:M13,7,FALSE)</f>
        <v>109558</v>
      </c>
    </row>
    <row r="28" spans="2:14" x14ac:dyDescent="0.25">
      <c r="B28" s="5">
        <f>B4</f>
        <v>44652</v>
      </c>
      <c r="C28" s="4">
        <v>0</v>
      </c>
      <c r="D28" s="4">
        <v>0</v>
      </c>
      <c r="E28" s="4">
        <f>IF(F27&lt;L28,I28,IF(F27&lt;N28,M28,0))</f>
        <v>0</v>
      </c>
      <c r="F28" s="21">
        <f>F27+C28+D28+E28</f>
        <v>120000</v>
      </c>
      <c r="H28" s="12">
        <f>ROUND(H27*(1+$C19),0)</f>
        <v>73038</v>
      </c>
      <c r="I28" s="12">
        <f>ROUND(I27*(1+$C19),0)</f>
        <v>2705</v>
      </c>
      <c r="J28" s="22"/>
      <c r="K28" s="22"/>
      <c r="L28" s="12">
        <f t="shared" ref="L28:N29" si="1">ROUND(L27*(1+$C19),0)</f>
        <v>97386</v>
      </c>
      <c r="M28" s="12">
        <f t="shared" si="1"/>
        <v>2028</v>
      </c>
      <c r="N28" s="12">
        <f t="shared" si="1"/>
        <v>109558</v>
      </c>
    </row>
    <row r="29" spans="2:14" x14ac:dyDescent="0.25">
      <c r="B29" s="5">
        <f>B5</f>
        <v>45017</v>
      </c>
      <c r="C29" s="4">
        <v>0</v>
      </c>
      <c r="D29" s="4">
        <v>0</v>
      </c>
      <c r="E29" s="4">
        <f>IF(F28&lt;L29,I29,IF(F28&lt;N29,M29,0))</f>
        <v>0</v>
      </c>
      <c r="F29" s="21">
        <f>F28+C29+D29+E29</f>
        <v>120000</v>
      </c>
      <c r="H29" s="12">
        <f>ROUND(H28*(1+$C20),0)</f>
        <v>73038</v>
      </c>
      <c r="I29" s="12">
        <f>ROUND(I28*(1+$C20),0)</f>
        <v>2705</v>
      </c>
      <c r="J29" s="22"/>
      <c r="K29" s="22"/>
      <c r="L29" s="12">
        <f t="shared" si="1"/>
        <v>97386</v>
      </c>
      <c r="M29" s="12">
        <f t="shared" si="1"/>
        <v>2028</v>
      </c>
      <c r="N29" s="12">
        <f t="shared" si="1"/>
        <v>109558</v>
      </c>
    </row>
    <row r="31" spans="2:14" x14ac:dyDescent="0.25">
      <c r="B31" s="34" t="s">
        <v>32</v>
      </c>
      <c r="C31" s="34"/>
      <c r="D31" s="34"/>
      <c r="F31" s="2"/>
      <c r="G31" s="16"/>
    </row>
    <row r="32" spans="2:14" x14ac:dyDescent="0.25">
      <c r="B32" s="35">
        <f>(F29/C8)-1</f>
        <v>0</v>
      </c>
      <c r="C32" s="35"/>
      <c r="D32" s="35"/>
    </row>
    <row r="34" spans="2:4" ht="5.45" customHeight="1" x14ac:dyDescent="0.25"/>
    <row r="35" spans="2:4" x14ac:dyDescent="0.25">
      <c r="B35" s="31" t="s">
        <v>33</v>
      </c>
      <c r="C35" s="31"/>
      <c r="D35" s="31"/>
    </row>
    <row r="36" spans="2:4" x14ac:dyDescent="0.25">
      <c r="B36" s="32">
        <f>B19-B32</f>
        <v>8.0527765625000081E-2</v>
      </c>
      <c r="C36" s="33"/>
      <c r="D36" s="33"/>
    </row>
  </sheetData>
  <sheetProtection algorithmName="SHA-512" hashValue="BK1b+hivzJfJqgXB8+ChdcJLroNSRTqtFpLxptnSAlDcW76L95soxLjxAFoEgrPaI6c+kLoxnDuzUyapo5wnXg==" saltValue="xuZc5I5dG0e9k7aX228MLQ==" spinCount="100000" sheet="1" selectLockedCells="1"/>
  <protectedRanges>
    <protectedRange sqref="C7:C8" name="Range1"/>
  </protectedRanges>
  <mergeCells count="13">
    <mergeCell ref="B18:D18"/>
    <mergeCell ref="B19:D19"/>
    <mergeCell ref="H9:L9"/>
    <mergeCell ref="B2:C2"/>
    <mergeCell ref="H14:L16"/>
    <mergeCell ref="D2:L5"/>
    <mergeCell ref="B14:F16"/>
    <mergeCell ref="H25:N25"/>
    <mergeCell ref="B35:D35"/>
    <mergeCell ref="B36:D36"/>
    <mergeCell ref="B31:D31"/>
    <mergeCell ref="B32:D32"/>
    <mergeCell ref="B25:D25"/>
  </mergeCells>
  <conditionalFormatting sqref="J10:K13">
    <cfRule type="expression" dxfId="7" priority="1">
      <formula>$C$7="General Librarian"</formula>
    </cfRule>
    <cfRule type="expression" dxfId="6" priority="2">
      <formula>$C$7="Asst Librarian"</formula>
    </cfRule>
    <cfRule type="expression" dxfId="5" priority="3">
      <formula>$C$7="Assoc Librarian"</formula>
    </cfRule>
    <cfRule type="expression" dxfId="4" priority="4">
      <formula>$C$7="Instructor I"</formula>
    </cfRule>
    <cfRule type="expression" dxfId="3" priority="5">
      <formula>$C$7="Instructor II"</formula>
    </cfRule>
    <cfRule type="expression" dxfId="2" priority="6">
      <formula>$C$7="Lecturer"</formula>
    </cfRule>
    <cfRule type="expression" dxfId="1" priority="7">
      <formula>$C$7="Assoc. Professor"</formula>
    </cfRule>
    <cfRule type="expression" dxfId="0" priority="8">
      <formula>$C$7="Asst. Professor"</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Sheet2!$A$3:$A$13</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3"/>
  <sheetViews>
    <sheetView workbookViewId="0">
      <selection sqref="A1:XFD1048576"/>
    </sheetView>
  </sheetViews>
  <sheetFormatPr defaultColWidth="8.7109375" defaultRowHeight="15" x14ac:dyDescent="0.25"/>
  <cols>
    <col min="1" max="2" width="8.7109375" style="19"/>
    <col min="3" max="3" width="9.28515625" style="19" bestFit="1" customWidth="1"/>
    <col min="4" max="6" width="9" style="19" bestFit="1" customWidth="1"/>
    <col min="7" max="7" width="9.28515625" style="19" bestFit="1" customWidth="1"/>
    <col min="8" max="10" width="9" style="19" bestFit="1" customWidth="1"/>
    <col min="11" max="16384" width="8.7109375" style="19"/>
  </cols>
  <sheetData>
    <row r="1" spans="1:7" x14ac:dyDescent="0.25">
      <c r="A1" s="19" t="s">
        <v>23</v>
      </c>
    </row>
    <row r="2" spans="1:7" x14ac:dyDescent="0.25">
      <c r="C2" s="19" t="s">
        <v>3</v>
      </c>
      <c r="D2" s="19" t="s">
        <v>1</v>
      </c>
      <c r="E2" s="19" t="s">
        <v>4</v>
      </c>
      <c r="F2" s="19" t="s">
        <v>1</v>
      </c>
      <c r="G2" s="19" t="s">
        <v>5</v>
      </c>
    </row>
    <row r="3" spans="1:7" x14ac:dyDescent="0.25">
      <c r="A3" s="19" t="s">
        <v>6</v>
      </c>
      <c r="C3" s="20">
        <v>112637.83</v>
      </c>
      <c r="D3" s="20">
        <v>4693</v>
      </c>
      <c r="E3" s="19">
        <v>140361</v>
      </c>
      <c r="F3" s="20">
        <v>4693</v>
      </c>
      <c r="G3" s="20">
        <v>168957.28</v>
      </c>
    </row>
    <row r="4" spans="1:7" x14ac:dyDescent="0.25">
      <c r="A4" s="19" t="s">
        <v>7</v>
      </c>
      <c r="C4" s="20">
        <v>91732.517493414009</v>
      </c>
      <c r="D4" s="20">
        <v>3822</v>
      </c>
      <c r="E4" s="19">
        <v>114309</v>
      </c>
      <c r="F4" s="20">
        <v>3822</v>
      </c>
      <c r="G4" s="20">
        <v>137598.79</v>
      </c>
    </row>
    <row r="5" spans="1:7" x14ac:dyDescent="0.25">
      <c r="A5" s="19" t="s">
        <v>8</v>
      </c>
      <c r="C5" s="20">
        <v>78150.66</v>
      </c>
      <c r="D5" s="20">
        <v>3256</v>
      </c>
      <c r="E5" s="19">
        <v>97386</v>
      </c>
      <c r="F5" s="20">
        <v>3256</v>
      </c>
      <c r="G5" s="20">
        <v>117227</v>
      </c>
    </row>
    <row r="6" spans="1:7" x14ac:dyDescent="0.25">
      <c r="A6" s="19" t="s">
        <v>9</v>
      </c>
      <c r="C6" s="20">
        <v>62379</v>
      </c>
      <c r="D6" s="20">
        <v>2599</v>
      </c>
      <c r="E6" s="19">
        <v>77731</v>
      </c>
      <c r="F6" s="20">
        <v>2599</v>
      </c>
      <c r="G6" s="20">
        <v>93569</v>
      </c>
    </row>
    <row r="7" spans="1:7" x14ac:dyDescent="0.25">
      <c r="A7" s="19" t="s">
        <v>10</v>
      </c>
      <c r="C7" s="20">
        <v>88039.591196039997</v>
      </c>
      <c r="D7" s="20">
        <v>3668.4</v>
      </c>
      <c r="E7" s="19">
        <v>99501</v>
      </c>
      <c r="F7" s="20">
        <v>3668.4</v>
      </c>
      <c r="G7" s="20">
        <v>132059.4</v>
      </c>
    </row>
    <row r="8" spans="1:7" x14ac:dyDescent="0.25">
      <c r="A8" s="19" t="s">
        <v>11</v>
      </c>
      <c r="C8" s="20">
        <v>73366.325996700005</v>
      </c>
      <c r="D8" s="20">
        <v>3057</v>
      </c>
      <c r="E8" s="19">
        <v>91423</v>
      </c>
      <c r="F8" s="20">
        <v>3057</v>
      </c>
      <c r="G8" s="20">
        <v>110049.5</v>
      </c>
    </row>
    <row r="9" spans="1:7" x14ac:dyDescent="0.25">
      <c r="A9" s="19" t="s">
        <v>12</v>
      </c>
      <c r="C9" s="20">
        <v>63721</v>
      </c>
      <c r="D9" s="20">
        <v>2655</v>
      </c>
      <c r="E9" s="19">
        <v>79401</v>
      </c>
      <c r="F9" s="20">
        <v>2655</v>
      </c>
      <c r="G9" s="20">
        <v>95579</v>
      </c>
    </row>
    <row r="10" spans="1:7" x14ac:dyDescent="0.25">
      <c r="A10" s="19" t="s">
        <v>13</v>
      </c>
      <c r="C10" s="20">
        <v>103394.1</v>
      </c>
      <c r="D10" s="20">
        <v>4308</v>
      </c>
      <c r="E10" s="19">
        <v>128841</v>
      </c>
      <c r="F10" s="20">
        <v>4308</v>
      </c>
      <c r="G10" s="20">
        <v>155090.08000000002</v>
      </c>
    </row>
    <row r="11" spans="1:7" x14ac:dyDescent="0.25">
      <c r="A11" s="19" t="s">
        <v>14</v>
      </c>
      <c r="C11" s="20">
        <v>82616.831738316003</v>
      </c>
      <c r="D11" s="20">
        <v>3442</v>
      </c>
      <c r="E11" s="19">
        <v>102949</v>
      </c>
      <c r="F11" s="20">
        <v>3442</v>
      </c>
      <c r="G11" s="20">
        <v>123925</v>
      </c>
    </row>
    <row r="12" spans="1:7" x14ac:dyDescent="0.25">
      <c r="A12" s="19" t="s">
        <v>15</v>
      </c>
      <c r="C12" s="20">
        <v>71678</v>
      </c>
      <c r="D12" s="20">
        <v>2987</v>
      </c>
      <c r="E12" s="19">
        <v>89316</v>
      </c>
      <c r="F12" s="20">
        <v>2987</v>
      </c>
      <c r="G12" s="20">
        <v>107516</v>
      </c>
    </row>
    <row r="13" spans="1:7" x14ac:dyDescent="0.25">
      <c r="A13" s="19" t="s">
        <v>16</v>
      </c>
      <c r="C13" s="20">
        <v>62234</v>
      </c>
      <c r="D13" s="20">
        <v>2593</v>
      </c>
      <c r="E13" s="19">
        <v>77550</v>
      </c>
      <c r="F13" s="20">
        <v>2593</v>
      </c>
      <c r="G13" s="20">
        <v>93350</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ED2FA-4C73-4D6F-986E-C1EF81FECAB1}">
  <dimension ref="A1:G13"/>
  <sheetViews>
    <sheetView workbookViewId="0">
      <selection sqref="A1:XFD1048576"/>
    </sheetView>
  </sheetViews>
  <sheetFormatPr defaultColWidth="8.7109375" defaultRowHeight="15" x14ac:dyDescent="0.25"/>
  <cols>
    <col min="1" max="2" width="8.7109375" style="19"/>
    <col min="3" max="3" width="9.28515625" style="19" bestFit="1" customWidth="1"/>
    <col min="4" max="4" width="9" style="19" bestFit="1" customWidth="1"/>
    <col min="5" max="5" width="9.28515625" style="19" bestFit="1" customWidth="1"/>
    <col min="6" max="6" width="9" style="19" bestFit="1" customWidth="1"/>
    <col min="7" max="7" width="9.28515625" style="19" bestFit="1" customWidth="1"/>
    <col min="8" max="10" width="9" style="19" bestFit="1" customWidth="1"/>
    <col min="11" max="16384" width="8.7109375" style="19"/>
  </cols>
  <sheetData>
    <row r="1" spans="1:7" x14ac:dyDescent="0.25">
      <c r="A1" s="19" t="s">
        <v>24</v>
      </c>
    </row>
    <row r="2" spans="1:7" x14ac:dyDescent="0.25">
      <c r="C2" s="19" t="s">
        <v>3</v>
      </c>
      <c r="D2" s="19" t="s">
        <v>1</v>
      </c>
      <c r="E2" s="19" t="s">
        <v>4</v>
      </c>
      <c r="F2" s="19" t="s">
        <v>1</v>
      </c>
      <c r="G2" s="19" t="s">
        <v>5</v>
      </c>
    </row>
    <row r="3" spans="1:7" x14ac:dyDescent="0.25">
      <c r="A3" s="19" t="s">
        <v>6</v>
      </c>
      <c r="C3" s="20">
        <v>122494.02799999999</v>
      </c>
      <c r="D3" s="20">
        <v>4900</v>
      </c>
      <c r="E3" s="19">
        <v>151689</v>
      </c>
      <c r="F3" s="20">
        <v>4900</v>
      </c>
      <c r="G3" s="20">
        <v>171491.63919999998</v>
      </c>
    </row>
    <row r="4" spans="1:7" x14ac:dyDescent="0.25">
      <c r="A4" s="19" t="s">
        <v>7</v>
      </c>
      <c r="C4" s="20">
        <v>99759.122749999995</v>
      </c>
      <c r="D4" s="20">
        <v>3990</v>
      </c>
      <c r="E4" s="19">
        <f>ROUND(Sheet2!E4*(1+Sheet1!$C$3),0)</f>
        <v>115738</v>
      </c>
      <c r="F4" s="20">
        <v>3990</v>
      </c>
      <c r="G4" s="20">
        <v>139662.77184999999</v>
      </c>
    </row>
    <row r="5" spans="1:7" x14ac:dyDescent="0.25">
      <c r="A5" s="19" t="s">
        <v>8</v>
      </c>
      <c r="C5" s="20">
        <v>84989.574999999997</v>
      </c>
      <c r="D5" s="20">
        <v>3400</v>
      </c>
      <c r="E5" s="19">
        <f>ROUND(Sheet2!E5*(1+Sheet1!$C$3),0)</f>
        <v>98603</v>
      </c>
      <c r="F5" s="20">
        <v>3400</v>
      </c>
      <c r="G5" s="20">
        <v>118985.40499999998</v>
      </c>
    </row>
    <row r="6" spans="1:7" x14ac:dyDescent="0.25">
      <c r="A6" s="19" t="s">
        <v>9</v>
      </c>
      <c r="C6" s="20">
        <v>67837.524999999994</v>
      </c>
      <c r="D6" s="20">
        <v>2714</v>
      </c>
      <c r="E6" s="19">
        <f>ROUND(Sheet2!E6*(1+Sheet1!$C$3),0)</f>
        <v>78703</v>
      </c>
      <c r="F6" s="20">
        <v>2714</v>
      </c>
      <c r="G6" s="20">
        <v>94972.534999999989</v>
      </c>
    </row>
    <row r="7" spans="1:7" x14ac:dyDescent="0.25">
      <c r="A7" s="19" t="s">
        <v>10</v>
      </c>
      <c r="C7" s="20">
        <v>95743.064999999988</v>
      </c>
      <c r="D7" s="20">
        <v>3830</v>
      </c>
      <c r="E7" s="20">
        <v>108063</v>
      </c>
      <c r="F7" s="20">
        <v>3830</v>
      </c>
      <c r="G7" s="20">
        <v>134040.29099999997</v>
      </c>
    </row>
    <row r="8" spans="1:7" x14ac:dyDescent="0.25">
      <c r="A8" s="19" t="s">
        <v>11</v>
      </c>
      <c r="C8" s="20">
        <v>79785.887499999997</v>
      </c>
      <c r="D8" s="20">
        <v>3191</v>
      </c>
      <c r="E8" s="19">
        <f>ROUND(Sheet2!E8*(1+Sheet1!$C$3),0)</f>
        <v>92566</v>
      </c>
      <c r="F8" s="20">
        <v>3191</v>
      </c>
      <c r="G8" s="20">
        <v>111700.24249999999</v>
      </c>
    </row>
    <row r="9" spans="1:7" x14ac:dyDescent="0.25">
      <c r="A9" s="19" t="s">
        <v>12</v>
      </c>
      <c r="C9" s="20">
        <v>69294.775000000009</v>
      </c>
      <c r="D9" s="20">
        <v>2772</v>
      </c>
      <c r="E9" s="19">
        <f>ROUND(Sheet2!E9*(1+Sheet1!$C$3),0)</f>
        <v>80394</v>
      </c>
      <c r="F9" s="20">
        <v>2772</v>
      </c>
      <c r="G9" s="20">
        <v>97012.684999999998</v>
      </c>
    </row>
    <row r="10" spans="1:7" x14ac:dyDescent="0.25">
      <c r="A10" s="19" t="s">
        <v>13</v>
      </c>
      <c r="C10" s="20">
        <v>112440.308</v>
      </c>
      <c r="D10" s="20">
        <v>4498</v>
      </c>
      <c r="E10" s="20">
        <v>139584</v>
      </c>
      <c r="F10" s="20">
        <v>4498</v>
      </c>
      <c r="G10" s="20">
        <v>157416.43119999999</v>
      </c>
    </row>
    <row r="11" spans="1:7" x14ac:dyDescent="0.25">
      <c r="A11" s="19" t="s">
        <v>14</v>
      </c>
      <c r="C11" s="20">
        <v>89845.625</v>
      </c>
      <c r="D11" s="20">
        <v>3594</v>
      </c>
      <c r="E11" s="19">
        <f>ROUND(Sheet2!E11*(1+Sheet1!$C$3),0)</f>
        <v>104236</v>
      </c>
      <c r="F11" s="20">
        <v>3594</v>
      </c>
      <c r="G11" s="20">
        <v>125783.87499999999</v>
      </c>
    </row>
    <row r="12" spans="1:7" x14ac:dyDescent="0.25">
      <c r="A12" s="19" t="s">
        <v>15</v>
      </c>
      <c r="C12" s="20">
        <v>77949.099999999991</v>
      </c>
      <c r="D12" s="20">
        <v>3118</v>
      </c>
      <c r="E12" s="19">
        <f>ROUND(Sheet2!E12*(1+Sheet1!$C$3),0)</f>
        <v>90432</v>
      </c>
      <c r="F12" s="20">
        <v>3118</v>
      </c>
      <c r="G12" s="20">
        <v>109128.73999999999</v>
      </c>
    </row>
    <row r="13" spans="1:7" x14ac:dyDescent="0.25">
      <c r="A13" s="19" t="s">
        <v>16</v>
      </c>
      <c r="C13" s="20">
        <v>67678.75</v>
      </c>
      <c r="D13" s="20">
        <v>2707</v>
      </c>
      <c r="E13" s="19">
        <f>ROUND(Sheet2!E13*(1+Sheet1!$C$3),0)</f>
        <v>78519</v>
      </c>
      <c r="F13" s="20">
        <v>2707</v>
      </c>
      <c r="G13" s="20">
        <v>94750.249999999985</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CC61-8863-4DCE-A5EF-8904B9A5DAC1}">
  <dimension ref="A1:G13"/>
  <sheetViews>
    <sheetView workbookViewId="0">
      <selection sqref="A1:XFD1048576"/>
    </sheetView>
  </sheetViews>
  <sheetFormatPr defaultColWidth="8.7109375" defaultRowHeight="15" x14ac:dyDescent="0.25"/>
  <cols>
    <col min="1" max="2" width="8.7109375" style="19"/>
    <col min="3" max="10" width="8.85546875" style="19" bestFit="1" customWidth="1"/>
    <col min="11" max="16384" width="8.7109375" style="19"/>
  </cols>
  <sheetData>
    <row r="1" spans="1:7" x14ac:dyDescent="0.25">
      <c r="A1" s="19" t="s">
        <v>30</v>
      </c>
    </row>
    <row r="2" spans="1:7" x14ac:dyDescent="0.25">
      <c r="A2" s="24"/>
      <c r="B2" s="24"/>
      <c r="C2" s="24" t="s">
        <v>3</v>
      </c>
      <c r="D2" s="24" t="s">
        <v>1</v>
      </c>
      <c r="E2" s="24" t="s">
        <v>4</v>
      </c>
      <c r="F2" s="24" t="s">
        <v>1</v>
      </c>
      <c r="G2" s="24" t="s">
        <v>5</v>
      </c>
    </row>
    <row r="3" spans="1:7" x14ac:dyDescent="0.25">
      <c r="A3" s="24" t="s">
        <v>6</v>
      </c>
      <c r="B3" s="24"/>
      <c r="C3" s="24">
        <v>105269</v>
      </c>
      <c r="D3" s="24">
        <v>3900</v>
      </c>
      <c r="E3" s="24">
        <v>140361</v>
      </c>
      <c r="F3" s="24">
        <v>2924</v>
      </c>
      <c r="G3" s="24">
        <v>157904</v>
      </c>
    </row>
    <row r="4" spans="1:7" x14ac:dyDescent="0.25">
      <c r="A4" s="24" t="s">
        <v>7</v>
      </c>
      <c r="B4" s="24"/>
      <c r="C4" s="24">
        <v>85732</v>
      </c>
      <c r="D4" s="24">
        <v>3174</v>
      </c>
      <c r="E4" s="24">
        <v>114309</v>
      </c>
      <c r="F4" s="24">
        <v>2383</v>
      </c>
      <c r="G4" s="24">
        <v>128597</v>
      </c>
    </row>
    <row r="5" spans="1:7" x14ac:dyDescent="0.25">
      <c r="A5" s="24" t="s">
        <v>8</v>
      </c>
      <c r="B5" s="24"/>
      <c r="C5" s="24">
        <v>73038</v>
      </c>
      <c r="D5" s="24">
        <v>2705</v>
      </c>
      <c r="E5" s="24">
        <v>97386</v>
      </c>
      <c r="F5" s="24">
        <v>2028</v>
      </c>
      <c r="G5" s="24">
        <v>109558</v>
      </c>
    </row>
    <row r="6" spans="1:7" x14ac:dyDescent="0.25">
      <c r="A6" s="24" t="s">
        <v>9</v>
      </c>
      <c r="B6" s="24"/>
      <c r="C6" s="24">
        <v>58298</v>
      </c>
      <c r="D6" s="24">
        <v>2159</v>
      </c>
      <c r="E6" s="24">
        <v>77731</v>
      </c>
      <c r="F6" s="24">
        <v>1620</v>
      </c>
      <c r="G6" s="24">
        <v>87448</v>
      </c>
    </row>
    <row r="7" spans="1:7" x14ac:dyDescent="0.25">
      <c r="A7" s="24" t="s">
        <v>10</v>
      </c>
      <c r="B7" s="24"/>
      <c r="C7" s="24">
        <v>74627</v>
      </c>
      <c r="D7" s="24">
        <v>2763</v>
      </c>
      <c r="E7" s="24">
        <v>99501</v>
      </c>
      <c r="F7" s="24">
        <v>2073</v>
      </c>
      <c r="G7" s="24">
        <v>111939</v>
      </c>
    </row>
    <row r="8" spans="1:7" x14ac:dyDescent="0.25">
      <c r="A8" s="24" t="s">
        <v>11</v>
      </c>
      <c r="B8" s="24"/>
      <c r="C8" s="24">
        <v>68566</v>
      </c>
      <c r="D8" s="24">
        <v>2540</v>
      </c>
      <c r="E8" s="24">
        <v>91423</v>
      </c>
      <c r="F8" s="24">
        <v>1905</v>
      </c>
      <c r="G8" s="24">
        <v>102850</v>
      </c>
    </row>
    <row r="9" spans="1:7" x14ac:dyDescent="0.25">
      <c r="A9" s="24" t="s">
        <v>12</v>
      </c>
      <c r="B9" s="24"/>
      <c r="C9" s="24">
        <v>59552</v>
      </c>
      <c r="D9" s="24">
        <v>2206</v>
      </c>
      <c r="E9" s="24">
        <v>79401</v>
      </c>
      <c r="F9" s="24">
        <v>1654</v>
      </c>
      <c r="G9" s="24">
        <v>89326</v>
      </c>
    </row>
    <row r="10" spans="1:7" x14ac:dyDescent="0.25">
      <c r="A10" s="24" t="s">
        <v>13</v>
      </c>
      <c r="B10" s="24"/>
      <c r="C10" s="24">
        <v>96630</v>
      </c>
      <c r="D10" s="24">
        <v>3578</v>
      </c>
      <c r="E10" s="24">
        <v>128841</v>
      </c>
      <c r="F10" s="24">
        <v>2685</v>
      </c>
      <c r="G10" s="24">
        <v>144944</v>
      </c>
    </row>
    <row r="11" spans="1:7" x14ac:dyDescent="0.25">
      <c r="A11" s="24" t="s">
        <v>14</v>
      </c>
      <c r="B11" s="24"/>
      <c r="C11" s="24">
        <v>77212</v>
      </c>
      <c r="D11" s="24">
        <v>2859</v>
      </c>
      <c r="E11" s="24">
        <v>102949</v>
      </c>
      <c r="F11" s="24">
        <v>2145</v>
      </c>
      <c r="G11" s="24">
        <v>115818</v>
      </c>
    </row>
    <row r="12" spans="1:7" x14ac:dyDescent="0.25">
      <c r="A12" s="24" t="s">
        <v>15</v>
      </c>
      <c r="B12" s="24"/>
      <c r="C12" s="24">
        <v>66989</v>
      </c>
      <c r="D12" s="24">
        <v>2481</v>
      </c>
      <c r="E12" s="24">
        <v>89316</v>
      </c>
      <c r="F12" s="24">
        <v>1861</v>
      </c>
      <c r="G12" s="24">
        <v>100482</v>
      </c>
    </row>
    <row r="13" spans="1:7" x14ac:dyDescent="0.25">
      <c r="A13" s="24" t="s">
        <v>16</v>
      </c>
      <c r="B13" s="24"/>
      <c r="C13" s="24">
        <v>58163</v>
      </c>
      <c r="D13" s="24">
        <v>2155</v>
      </c>
      <c r="E13" s="24">
        <v>77550</v>
      </c>
      <c r="F13" s="24">
        <v>1616</v>
      </c>
      <c r="G13" s="24">
        <v>87243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0F89-C613-49AD-AA9C-A41C9FB93171}">
  <dimension ref="A1:G13"/>
  <sheetViews>
    <sheetView workbookViewId="0">
      <selection sqref="A1:XFD1048576"/>
    </sheetView>
  </sheetViews>
  <sheetFormatPr defaultColWidth="8.7109375" defaultRowHeight="15" x14ac:dyDescent="0.25"/>
  <cols>
    <col min="1" max="2" width="8.7109375" style="19"/>
    <col min="3" max="3" width="9.28515625" style="19" bestFit="1" customWidth="1"/>
    <col min="4" max="4" width="9" style="19" bestFit="1" customWidth="1"/>
    <col min="5" max="5" width="9.28515625" style="19" bestFit="1" customWidth="1"/>
    <col min="6" max="6" width="9" style="19" bestFit="1" customWidth="1"/>
    <col min="7" max="7" width="9.28515625" style="19" bestFit="1" customWidth="1"/>
    <col min="8" max="10" width="9" style="19" bestFit="1" customWidth="1"/>
    <col min="11" max="16384" width="8.7109375" style="19"/>
  </cols>
  <sheetData>
    <row r="1" spans="1:7" x14ac:dyDescent="0.25">
      <c r="A1" s="19" t="s">
        <v>35</v>
      </c>
    </row>
    <row r="2" spans="1:7" x14ac:dyDescent="0.25">
      <c r="C2" s="19" t="s">
        <v>3</v>
      </c>
      <c r="D2" s="19" t="s">
        <v>1</v>
      </c>
      <c r="E2" s="19" t="s">
        <v>4</v>
      </c>
      <c r="F2" s="19" t="s">
        <v>1</v>
      </c>
      <c r="G2" s="19" t="s">
        <v>5</v>
      </c>
    </row>
    <row r="3" spans="1:7" x14ac:dyDescent="0.25">
      <c r="A3" s="19" t="s">
        <v>6</v>
      </c>
      <c r="C3" s="20">
        <v>124638</v>
      </c>
      <c r="D3" s="20">
        <v>4986</v>
      </c>
      <c r="E3" s="19">
        <v>151689</v>
      </c>
      <c r="F3" s="27">
        <v>4986</v>
      </c>
      <c r="G3" s="20">
        <v>174493</v>
      </c>
    </row>
    <row r="4" spans="1:7" x14ac:dyDescent="0.25">
      <c r="A4" s="19" t="s">
        <v>7</v>
      </c>
      <c r="C4" s="20">
        <v>101505</v>
      </c>
      <c r="D4" s="20">
        <v>4060</v>
      </c>
      <c r="E4" s="19">
        <f>ROUND(Sheet2!E4*(1+Sheet1!$C$3),0)</f>
        <v>115738</v>
      </c>
      <c r="F4" s="27">
        <v>4060</v>
      </c>
      <c r="G4" s="20">
        <v>142107</v>
      </c>
    </row>
    <row r="5" spans="1:7" x14ac:dyDescent="0.25">
      <c r="A5" s="19" t="s">
        <v>8</v>
      </c>
      <c r="C5" s="20">
        <v>86477</v>
      </c>
      <c r="D5" s="20">
        <v>3460</v>
      </c>
      <c r="E5" s="19">
        <f>ROUND(Sheet2!E5*(1+Sheet1!$C$3),0)</f>
        <v>98603</v>
      </c>
      <c r="F5" s="27">
        <v>3460</v>
      </c>
      <c r="G5" s="20">
        <v>121068</v>
      </c>
    </row>
    <row r="6" spans="1:7" x14ac:dyDescent="0.25">
      <c r="A6" s="19" t="s">
        <v>9</v>
      </c>
      <c r="C6" s="20">
        <v>69025</v>
      </c>
      <c r="D6" s="20">
        <v>2761</v>
      </c>
      <c r="E6" s="19">
        <f>ROUND(Sheet2!E6*(1+Sheet1!$C$3),0)</f>
        <v>78703</v>
      </c>
      <c r="F6" s="27">
        <v>2761</v>
      </c>
      <c r="G6" s="20">
        <v>96635</v>
      </c>
    </row>
    <row r="7" spans="1:7" x14ac:dyDescent="0.25">
      <c r="A7" s="19" t="s">
        <v>10</v>
      </c>
      <c r="C7" s="20">
        <v>97419</v>
      </c>
      <c r="D7" s="20">
        <v>3897</v>
      </c>
      <c r="E7" s="20">
        <v>108063</v>
      </c>
      <c r="F7" s="27">
        <v>3897</v>
      </c>
      <c r="G7" s="20">
        <v>136386</v>
      </c>
    </row>
    <row r="8" spans="1:7" x14ac:dyDescent="0.25">
      <c r="A8" s="19" t="s">
        <v>11</v>
      </c>
      <c r="C8" s="20">
        <v>81182</v>
      </c>
      <c r="D8" s="20">
        <v>3247</v>
      </c>
      <c r="E8" s="19">
        <f>ROUND(Sheet2!E8*(1+Sheet1!$C$3),0)</f>
        <v>92566</v>
      </c>
      <c r="F8" s="27">
        <v>3247</v>
      </c>
      <c r="G8" s="20">
        <v>113655</v>
      </c>
    </row>
    <row r="9" spans="1:7" x14ac:dyDescent="0.25">
      <c r="A9" s="19" t="s">
        <v>12</v>
      </c>
      <c r="C9" s="20">
        <v>70507</v>
      </c>
      <c r="D9" s="20">
        <v>2821</v>
      </c>
      <c r="E9" s="19">
        <f>ROUND(Sheet2!E9*(1+Sheet1!$C$3),0)</f>
        <v>80394</v>
      </c>
      <c r="F9" s="27">
        <v>2821</v>
      </c>
      <c r="G9" s="20">
        <v>98710</v>
      </c>
    </row>
    <row r="10" spans="1:7" x14ac:dyDescent="0.25">
      <c r="A10" s="19" t="s">
        <v>13</v>
      </c>
      <c r="C10" s="20">
        <v>114408</v>
      </c>
      <c r="D10" s="20">
        <v>4577</v>
      </c>
      <c r="E10" s="20">
        <v>139584</v>
      </c>
      <c r="F10" s="27">
        <v>4577</v>
      </c>
      <c r="G10" s="20">
        <v>160171</v>
      </c>
    </row>
    <row r="11" spans="1:7" x14ac:dyDescent="0.25">
      <c r="A11" s="19" t="s">
        <v>14</v>
      </c>
      <c r="C11" s="20">
        <v>91418</v>
      </c>
      <c r="D11" s="20">
        <v>3657</v>
      </c>
      <c r="E11" s="19">
        <f>ROUND(Sheet2!E11*(1+Sheet1!$C$3),0)</f>
        <v>104236</v>
      </c>
      <c r="F11" s="27">
        <v>3657</v>
      </c>
      <c r="G11" s="20">
        <v>127985</v>
      </c>
    </row>
    <row r="12" spans="1:7" x14ac:dyDescent="0.25">
      <c r="A12" s="19" t="s">
        <v>15</v>
      </c>
      <c r="C12" s="20">
        <v>79313</v>
      </c>
      <c r="D12" s="20">
        <v>3173</v>
      </c>
      <c r="E12" s="19">
        <f>ROUND(Sheet2!E12*(1+Sheet1!$C$3),0)</f>
        <v>90432</v>
      </c>
      <c r="F12" s="27">
        <v>3173</v>
      </c>
      <c r="G12" s="20">
        <v>111038</v>
      </c>
    </row>
    <row r="13" spans="1:7" x14ac:dyDescent="0.25">
      <c r="A13" s="19" t="s">
        <v>16</v>
      </c>
      <c r="C13" s="20">
        <v>68863</v>
      </c>
      <c r="D13" s="20">
        <v>2754</v>
      </c>
      <c r="E13" s="19">
        <f>ROUND(Sheet2!E13*(1+Sheet1!$C$3),0)</f>
        <v>78519</v>
      </c>
      <c r="F13" s="27">
        <v>2754</v>
      </c>
      <c r="G13" s="20">
        <v>96408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Sheet2</vt:lpstr>
      <vt:lpstr>Sheet3</vt:lpstr>
      <vt:lpstr>Sheet4</vt:lpstr>
      <vt:lpstr>Sheet5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muir</dc:creator>
  <cp:lastModifiedBy>Dave Muir</cp:lastModifiedBy>
  <dcterms:created xsi:type="dcterms:W3CDTF">2013-09-03T19:34:23Z</dcterms:created>
  <dcterms:modified xsi:type="dcterms:W3CDTF">2021-11-15T21:20:47Z</dcterms:modified>
</cp:coreProperties>
</file>