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45" windowWidth="15480" windowHeight="8835" tabRatio="751" firstSheet="1" activeTab="1"/>
  </bookViews>
  <sheets>
    <sheet name="Blend Calc (Historical Valu (2" sheetId="12" state="hidden" r:id="rId1"/>
    <sheet name="Blend Calc (Historical Value)" sheetId="2" r:id="rId2"/>
    <sheet name="Blend Calc (Manual)" sheetId="9" r:id="rId3"/>
    <sheet name="Moisture and Bulk Density" sheetId="7" r:id="rId4"/>
    <sheet name="Adding Water" sheetId="3" r:id="rId5"/>
    <sheet name="Conversions" sheetId="8" r:id="rId6"/>
    <sheet name="Literature CtoN" sheetId="1" r:id="rId7"/>
    <sheet name="Updates" sheetId="13" r:id="rId8"/>
  </sheets>
  <definedNames>
    <definedName name="_xlnm.Print_Area" localSheetId="0">'Blend Calc (Historical Valu (2'!$A$1:$J$47</definedName>
    <definedName name="_xlnm.Print_Area" localSheetId="1">'Blend Calc (Historical Value)'!$A$1:$J$47</definedName>
  </definedNames>
  <calcPr calcId="145621"/>
</workbook>
</file>

<file path=xl/calcChain.xml><?xml version="1.0" encoding="utf-8"?>
<calcChain xmlns="http://schemas.openxmlformats.org/spreadsheetml/2006/main">
  <c r="E60" i="1" l="1"/>
  <c r="E59" i="1"/>
  <c r="E58" i="1"/>
  <c r="E57" i="1"/>
  <c r="E56" i="1"/>
  <c r="E55" i="1"/>
  <c r="E54" i="1"/>
  <c r="E53" i="1"/>
  <c r="E52" i="1"/>
  <c r="B200" i="1" l="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E10" i="1" l="1"/>
  <c r="G10" i="1"/>
  <c r="O10" i="1"/>
  <c r="P10" i="1"/>
  <c r="Q10" i="1"/>
  <c r="F32" i="8" l="1"/>
  <c r="A24" i="3"/>
  <c r="G47" i="9"/>
  <c r="J44" i="9"/>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5" i="2" l="1"/>
  <c r="D16" i="2"/>
  <c r="F15" i="2"/>
  <c r="C15" i="2"/>
  <c r="G15" i="2"/>
  <c r="D15" i="2"/>
  <c r="C16" i="2"/>
  <c r="F19" i="1"/>
  <c r="F18" i="1"/>
  <c r="B24" i="3" l="1"/>
  <c r="A26" i="3" s="1"/>
  <c r="G20" i="12" l="1"/>
  <c r="G19" i="12"/>
  <c r="G16" i="12"/>
  <c r="F16" i="12"/>
  <c r="E16" i="12"/>
  <c r="D20" i="12"/>
  <c r="C16" i="12"/>
  <c r="C20" i="12" s="1"/>
  <c r="D15" i="12"/>
  <c r="D19" i="12" s="1"/>
  <c r="C15" i="12"/>
  <c r="C19" i="12" s="1"/>
  <c r="F20" i="12" l="1"/>
  <c r="C41" i="12"/>
  <c r="C42" i="12" s="1"/>
  <c r="E20" i="12"/>
  <c r="D19" i="2"/>
  <c r="G20" i="2"/>
  <c r="F22" i="1"/>
  <c r="F21" i="1"/>
  <c r="F20" i="1"/>
  <c r="F17" i="1"/>
  <c r="F16" i="1"/>
  <c r="F15" i="1"/>
  <c r="F14" i="1"/>
  <c r="F13" i="1"/>
  <c r="P27" i="1"/>
  <c r="M28" i="1"/>
  <c r="F28" i="1"/>
  <c r="O28" i="1" s="1"/>
  <c r="F27" i="1"/>
  <c r="L27" i="1" s="1"/>
  <c r="M27" i="1" s="1"/>
  <c r="P26" i="1"/>
  <c r="K26" i="1" s="1"/>
  <c r="P25" i="1"/>
  <c r="K25" i="1" s="1"/>
  <c r="P24" i="1"/>
  <c r="K24" i="1" s="1"/>
  <c r="P23" i="1"/>
  <c r="K23" i="1" s="1"/>
  <c r="L26" i="1"/>
  <c r="L25" i="1"/>
  <c r="L24" i="1"/>
  <c r="L23" i="1"/>
  <c r="G26" i="1"/>
  <c r="G25" i="1"/>
  <c r="G24" i="1"/>
  <c r="G23" i="1"/>
  <c r="P28" i="1" l="1"/>
  <c r="D41" i="12"/>
  <c r="D42" i="12" s="1"/>
  <c r="D43" i="12"/>
  <c r="E42" i="12"/>
  <c r="C43" i="12"/>
  <c r="E40" i="12" l="1"/>
  <c r="B47" i="9"/>
  <c r="B51" i="9" s="1"/>
  <c r="F52" i="9"/>
  <c r="D52" i="9"/>
  <c r="C52" i="9"/>
  <c r="B52" i="9"/>
  <c r="E52" i="9"/>
  <c r="C35" i="8" l="1"/>
  <c r="C15" i="9" l="1"/>
  <c r="D15" i="9"/>
  <c r="E15" i="9"/>
  <c r="F15" i="9"/>
  <c r="B15" i="9"/>
  <c r="D14" i="9"/>
  <c r="E14" i="9"/>
  <c r="F14" i="9"/>
  <c r="C14" i="9"/>
  <c r="B14" i="9"/>
  <c r="B36" i="9" l="1"/>
  <c r="C24" i="9"/>
  <c r="C26" i="9" s="1"/>
  <c r="B24" i="9"/>
  <c r="B26" i="9" s="1"/>
  <c r="C36" i="9" l="1"/>
  <c r="C38" i="9" s="1"/>
  <c r="B38" i="9"/>
  <c r="B39" i="9"/>
  <c r="H47" i="9"/>
  <c r="B27" i="9"/>
  <c r="B37" i="9"/>
  <c r="C47" i="9"/>
  <c r="D47" i="9"/>
  <c r="E47" i="9"/>
  <c r="D35" i="9"/>
  <c r="D23" i="9"/>
  <c r="B25" i="9"/>
  <c r="C25" i="9"/>
  <c r="D25" i="9"/>
  <c r="F47" i="9" l="1"/>
  <c r="F51" i="9" s="1"/>
  <c r="B76" i="9" s="1"/>
  <c r="C37" i="9"/>
  <c r="D37" i="9"/>
  <c r="K34" i="8"/>
  <c r="K33" i="8"/>
  <c r="K32" i="8"/>
  <c r="J34" i="8"/>
  <c r="J33" i="8"/>
  <c r="J32" i="8"/>
  <c r="K35" i="8"/>
  <c r="J36" i="8"/>
  <c r="J35" i="8"/>
  <c r="I36" i="8"/>
  <c r="G36" i="8"/>
  <c r="H36" i="8"/>
  <c r="H33" i="8"/>
  <c r="I35" i="8"/>
  <c r="G35" i="8"/>
  <c r="H35" i="8"/>
  <c r="I33" i="8"/>
  <c r="I32" i="8"/>
  <c r="H32" i="8"/>
  <c r="H34" i="8"/>
  <c r="G34" i="8"/>
  <c r="G33" i="8"/>
  <c r="K36" i="8"/>
  <c r="I34" i="8"/>
  <c r="G32" i="8"/>
  <c r="F36" i="8"/>
  <c r="F35" i="8"/>
  <c r="F34" i="8"/>
  <c r="F33" i="8"/>
  <c r="F20" i="8"/>
  <c r="O27" i="8"/>
  <c r="O26" i="8"/>
  <c r="O25" i="8"/>
  <c r="O24" i="8"/>
  <c r="O23" i="8"/>
  <c r="O22" i="8"/>
  <c r="O21" i="8"/>
  <c r="O20" i="8"/>
  <c r="N26" i="8"/>
  <c r="N25" i="8"/>
  <c r="N23" i="8"/>
  <c r="N24" i="8" s="1"/>
  <c r="N22" i="8"/>
  <c r="N21" i="8"/>
  <c r="N20" i="8"/>
  <c r="M25" i="8"/>
  <c r="M23" i="8"/>
  <c r="M24" i="8" s="1"/>
  <c r="M22" i="8"/>
  <c r="M21" i="8"/>
  <c r="M20" i="8"/>
  <c r="L24" i="8"/>
  <c r="L23" i="8"/>
  <c r="L22" i="8"/>
  <c r="L21" i="8"/>
  <c r="L20" i="8"/>
  <c r="N28" i="8"/>
  <c r="M28" i="8"/>
  <c r="L28" i="8"/>
  <c r="M27" i="8"/>
  <c r="L27" i="8"/>
  <c r="K28" i="8"/>
  <c r="J28" i="8"/>
  <c r="I28" i="8"/>
  <c r="H28" i="8"/>
  <c r="G28" i="8"/>
  <c r="K27" i="8"/>
  <c r="J27" i="8"/>
  <c r="I27" i="8"/>
  <c r="H27" i="8"/>
  <c r="G27" i="8"/>
  <c r="K26" i="8"/>
  <c r="J26" i="8"/>
  <c r="I26" i="8"/>
  <c r="H26" i="8"/>
  <c r="G26" i="8"/>
  <c r="K25" i="8"/>
  <c r="J25" i="8"/>
  <c r="I25" i="8"/>
  <c r="H25" i="8"/>
  <c r="G25" i="8"/>
  <c r="F28" i="8"/>
  <c r="F27" i="8"/>
  <c r="F26" i="8"/>
  <c r="F25" i="8"/>
  <c r="F24" i="8"/>
  <c r="F23" i="8"/>
  <c r="F22" i="8"/>
  <c r="F21" i="8"/>
  <c r="F10" i="8"/>
  <c r="K23" i="8"/>
  <c r="K22" i="8"/>
  <c r="K21" i="8"/>
  <c r="J22" i="8"/>
  <c r="J21" i="8"/>
  <c r="I21" i="8"/>
  <c r="K20" i="8"/>
  <c r="J20" i="8"/>
  <c r="I20" i="8"/>
  <c r="H20" i="8"/>
  <c r="J24" i="8"/>
  <c r="I24" i="8"/>
  <c r="H24" i="8"/>
  <c r="G24" i="8"/>
  <c r="I23" i="8"/>
  <c r="H23" i="8"/>
  <c r="H22" i="8"/>
  <c r="G23" i="8"/>
  <c r="G22" i="8"/>
  <c r="G21" i="8"/>
  <c r="G20" i="8"/>
  <c r="O28" i="8"/>
  <c r="N27" i="8"/>
  <c r="M26" i="8"/>
  <c r="L25" i="8"/>
  <c r="K24" i="8"/>
  <c r="J23" i="8"/>
  <c r="I22" i="8"/>
  <c r="H21" i="8"/>
  <c r="L10" i="8"/>
  <c r="L11" i="8"/>
  <c r="L12" i="8"/>
  <c r="K15" i="8"/>
  <c r="K14" i="8"/>
  <c r="J15" i="8"/>
  <c r="J14" i="8"/>
  <c r="J13" i="8"/>
  <c r="L13" i="8"/>
  <c r="L14" i="8"/>
  <c r="K13" i="8"/>
  <c r="J12" i="8"/>
  <c r="J11" i="8"/>
  <c r="K12" i="8"/>
  <c r="F15" i="8"/>
  <c r="F14" i="8"/>
  <c r="F13" i="8"/>
  <c r="F12" i="8"/>
  <c r="F11" i="8"/>
  <c r="K11" i="8"/>
  <c r="K10" i="8"/>
  <c r="G14" i="8"/>
  <c r="J10" i="8"/>
  <c r="I15" i="8"/>
  <c r="G15" i="8"/>
  <c r="H15" i="8"/>
  <c r="I14" i="8"/>
  <c r="H14" i="8"/>
  <c r="I13" i="8"/>
  <c r="H13" i="8"/>
  <c r="G13" i="8"/>
  <c r="I11" i="8"/>
  <c r="I10" i="8"/>
  <c r="H12" i="8"/>
  <c r="G12" i="8"/>
  <c r="G11" i="8"/>
  <c r="H10" i="8"/>
  <c r="L15" i="8"/>
  <c r="I12" i="8"/>
  <c r="H11" i="8"/>
  <c r="G10" i="8"/>
  <c r="C7" i="8"/>
  <c r="C10" i="8"/>
  <c r="C12" i="8"/>
  <c r="C14" i="8"/>
  <c r="C16" i="8"/>
  <c r="C20" i="8"/>
  <c r="C23" i="8"/>
  <c r="C25" i="8"/>
  <c r="C27" i="8"/>
  <c r="C29" i="8"/>
  <c r="C27" i="7"/>
  <c r="C28" i="7" s="1"/>
  <c r="E12" i="7"/>
  <c r="E11" i="7"/>
  <c r="E10" i="7"/>
  <c r="E9" i="7"/>
  <c r="E8" i="7"/>
  <c r="C19" i="2"/>
  <c r="B17" i="3"/>
  <c r="A11" i="3"/>
  <c r="B11" i="3" s="1"/>
  <c r="N72" i="3"/>
  <c r="N71" i="3"/>
  <c r="N70" i="3"/>
  <c r="N69" i="3"/>
  <c r="N68" i="3"/>
  <c r="N67" i="3"/>
  <c r="N66" i="3"/>
  <c r="N65" i="3"/>
  <c r="N64" i="3"/>
  <c r="N63" i="3"/>
  <c r="N62" i="3"/>
  <c r="N61" i="3"/>
  <c r="N60" i="3"/>
  <c r="I71" i="3"/>
  <c r="I70" i="3"/>
  <c r="I69" i="3"/>
  <c r="I68" i="3"/>
  <c r="I67" i="3"/>
  <c r="I66" i="3"/>
  <c r="I65" i="3"/>
  <c r="I64" i="3"/>
  <c r="I63" i="3"/>
  <c r="I62" i="3"/>
  <c r="I61" i="3"/>
  <c r="I60" i="3"/>
  <c r="D69" i="3"/>
  <c r="D68" i="3"/>
  <c r="D67" i="3"/>
  <c r="D66" i="3"/>
  <c r="D65" i="3"/>
  <c r="D64" i="3"/>
  <c r="D63" i="3"/>
  <c r="D62" i="3"/>
  <c r="D61" i="3"/>
  <c r="D60" i="3"/>
  <c r="G15" i="12"/>
  <c r="G11" i="1"/>
  <c r="G19" i="2" s="1"/>
  <c r="C41" i="2" s="1"/>
  <c r="D41" i="2" s="1"/>
  <c r="G12" i="1"/>
  <c r="G16" i="2" s="1"/>
  <c r="K49" i="1"/>
  <c r="Q12" i="1"/>
  <c r="Q11" i="1"/>
  <c r="P12" i="1"/>
  <c r="F16" i="2" s="1"/>
  <c r="F20" i="2" s="1"/>
  <c r="O12" i="1"/>
  <c r="E16" i="2" s="1"/>
  <c r="E20" i="2" s="1"/>
  <c r="P11" i="1"/>
  <c r="O11" i="1"/>
  <c r="F15" i="12"/>
  <c r="F19" i="12" s="1"/>
  <c r="E15" i="12"/>
  <c r="E19" i="12" s="1"/>
  <c r="O39" i="1"/>
  <c r="O38" i="1"/>
  <c r="O34" i="1"/>
  <c r="O33" i="1"/>
  <c r="O32" i="1"/>
  <c r="O30" i="1"/>
  <c r="O29" i="1"/>
  <c r="O37" i="1"/>
  <c r="O43" i="1"/>
  <c r="P31" i="1"/>
  <c r="K31" i="1"/>
  <c r="O40" i="1"/>
  <c r="P41" i="1"/>
  <c r="O41" i="1" s="1"/>
  <c r="O42" i="1"/>
  <c r="O36" i="1"/>
  <c r="O35" i="1"/>
  <c r="B77" i="9" l="1"/>
  <c r="F19" i="2"/>
  <c r="E19" i="2"/>
  <c r="C44" i="12"/>
  <c r="C29" i="12"/>
  <c r="E51" i="9"/>
  <c r="C51" i="9"/>
  <c r="D51" i="9"/>
  <c r="A17" i="3"/>
  <c r="A19" i="3" s="1"/>
  <c r="E13" i="7"/>
  <c r="E14" i="7" s="1"/>
  <c r="D20" i="2"/>
  <c r="C20" i="2"/>
  <c r="O31" i="1"/>
  <c r="B26" i="3" l="1"/>
  <c r="B25" i="3"/>
  <c r="C29" i="2"/>
  <c r="C31" i="2" s="1"/>
  <c r="D76" i="9"/>
  <c r="B78" i="9"/>
  <c r="B81" i="9" s="1"/>
  <c r="D77" i="9"/>
  <c r="B60" i="9"/>
  <c r="B61" i="9" s="1"/>
  <c r="E30" i="12"/>
  <c r="D29" i="12"/>
  <c r="C30" i="12"/>
  <c r="C31" i="12"/>
  <c r="D31" i="12"/>
  <c r="C32" i="12"/>
  <c r="B84" i="9"/>
  <c r="C44" i="2"/>
  <c r="B82" i="9" l="1"/>
  <c r="B62" i="9"/>
  <c r="B66" i="9" s="1"/>
  <c r="D61" i="9"/>
  <c r="C32" i="2"/>
  <c r="D29" i="2"/>
  <c r="D30" i="12"/>
  <c r="E28" i="12"/>
  <c r="C43" i="2"/>
  <c r="D43" i="2"/>
  <c r="C42" i="2"/>
  <c r="E42" i="2"/>
  <c r="E40" i="2"/>
  <c r="B68" i="9"/>
  <c r="D60" i="9"/>
  <c r="B65" i="9" l="1"/>
  <c r="D31" i="2"/>
  <c r="D42" i="2"/>
  <c r="C30" i="2"/>
  <c r="E30" i="2"/>
  <c r="D30" i="2" l="1"/>
  <c r="E28" i="2"/>
</calcChain>
</file>

<file path=xl/sharedStrings.xml><?xml version="1.0" encoding="utf-8"?>
<sst xmlns="http://schemas.openxmlformats.org/spreadsheetml/2006/main" count="535" uniqueCount="282">
  <si>
    <t>pH</t>
  </si>
  <si>
    <t>EC</t>
  </si>
  <si>
    <t>TN %</t>
  </si>
  <si>
    <t>P %</t>
  </si>
  <si>
    <t>Feedstock</t>
  </si>
  <si>
    <t>Feed Wheat Straw</t>
  </si>
  <si>
    <t>Rapeseed Residue</t>
  </si>
  <si>
    <t>Liquid Hog Manure (Gold)</t>
  </si>
  <si>
    <t>Solid Dairy Manure</t>
  </si>
  <si>
    <t>Solid Hog Manure</t>
  </si>
  <si>
    <t>Source</t>
  </si>
  <si>
    <t>Corn Stalks</t>
  </si>
  <si>
    <t>Corn Cobs</t>
  </si>
  <si>
    <t>Poultry Litter</t>
  </si>
  <si>
    <t>Swine Manure</t>
  </si>
  <si>
    <t>Swine Manure Slurry</t>
  </si>
  <si>
    <t>Poultry Carcasses</t>
  </si>
  <si>
    <t>Corn Silage</t>
  </si>
  <si>
    <t>Non-Legume Hay</t>
  </si>
  <si>
    <t>Legume Hay</t>
  </si>
  <si>
    <t>General Hay</t>
  </si>
  <si>
    <t>General Straw</t>
  </si>
  <si>
    <t>Oat Straw</t>
  </si>
  <si>
    <t>Wheat Straw</t>
  </si>
  <si>
    <t>Grass Clippings</t>
  </si>
  <si>
    <t>Leaves</t>
  </si>
  <si>
    <t>C %</t>
  </si>
  <si>
    <t>General Composition of Feedstock Materials</t>
  </si>
  <si>
    <t>% Fresh</t>
  </si>
  <si>
    <t>% Dry</t>
  </si>
  <si>
    <t>DM %</t>
  </si>
  <si>
    <t>Urine</t>
  </si>
  <si>
    <t>Cow Manure</t>
  </si>
  <si>
    <t>Poultry Manure</t>
  </si>
  <si>
    <t xml:space="preserve">Grass Clippings </t>
  </si>
  <si>
    <t>Dry Leaves</t>
  </si>
  <si>
    <t>Paper and Wood</t>
  </si>
  <si>
    <t>Sawdust</t>
  </si>
  <si>
    <t>Feedstock 1</t>
  </si>
  <si>
    <t>Feedstock 2</t>
  </si>
  <si>
    <t>C:N</t>
  </si>
  <si>
    <t>Moisture</t>
  </si>
  <si>
    <t>Moisture %</t>
  </si>
  <si>
    <t>N % (Dry)</t>
  </si>
  <si>
    <t>C % (Dry)</t>
  </si>
  <si>
    <t>Name</t>
  </si>
  <si>
    <t>Ratio</t>
  </si>
  <si>
    <t>F1:F2</t>
  </si>
  <si>
    <t>F2:F1</t>
  </si>
  <si>
    <t>Fresh Analysis</t>
  </si>
  <si>
    <t>Fresh Analysis = Dry Analysis * ((100-Moisture%)/100)</t>
  </si>
  <si>
    <t>or</t>
  </si>
  <si>
    <t>F1:F2 = ((F2Carbon%/100)-(TargetCtoN*(F2Nitrogen%/100)))/((TargetCtoN*(F1Nitrogen/100))-(F1Carbon%/100))</t>
  </si>
  <si>
    <t>F2:F1 = 1/F1:F2</t>
  </si>
  <si>
    <t>N % (Fresh)</t>
  </si>
  <si>
    <t>C % (Fresh)</t>
  </si>
  <si>
    <t>Feedstock 1 (F1)</t>
  </si>
  <si>
    <t>Feedstock 2 (F2)</t>
  </si>
  <si>
    <t>Resulting Moisture</t>
  </si>
  <si>
    <t xml:space="preserve">Optimum range </t>
  </si>
  <si>
    <t xml:space="preserve">Optimum Range </t>
  </si>
  <si>
    <t>25:1 - 40:1</t>
  </si>
  <si>
    <t>C:N Ratio</t>
  </si>
  <si>
    <t xml:space="preserve">Optimum </t>
  </si>
  <si>
    <t>45 - 60%</t>
  </si>
  <si>
    <t>Optimum</t>
  </si>
  <si>
    <t>Dry Analysis</t>
  </si>
  <si>
    <t>Target C:N</t>
  </si>
  <si>
    <t>Resulting C:N</t>
  </si>
  <si>
    <t>Target Moisture %</t>
  </si>
  <si>
    <t>F1:F2 = (TargetMoisture-F2Moisture)/(F1Moisture-TargetMoisture)</t>
  </si>
  <si>
    <t>Dry Analysis = Fresh Analysis / ((100-Moisture%)/100)</t>
  </si>
  <si>
    <t xml:space="preserve">or </t>
  </si>
  <si>
    <t>Enter Data In Yellow Fields</t>
  </si>
  <si>
    <t>Table From Composting Facility Operating Guide</t>
  </si>
  <si>
    <t>Moisture Content</t>
  </si>
  <si>
    <t>Water Added to Feedstock</t>
  </si>
  <si>
    <t>After Adding Water</t>
  </si>
  <si>
    <t>l/tonne</t>
  </si>
  <si>
    <t>US Gal/Ton</t>
  </si>
  <si>
    <t>The Composting Council, 1994</t>
  </si>
  <si>
    <t>Green indicates within optimal or possible range</t>
  </si>
  <si>
    <t>Formulas Used</t>
  </si>
  <si>
    <t>Water To Add (L)</t>
  </si>
  <si>
    <t>Target Moisture (%)</t>
  </si>
  <si>
    <t>General Water Addition Calculator</t>
  </si>
  <si>
    <r>
      <t>Wet Bulk Density (kg/m</t>
    </r>
    <r>
      <rPr>
        <vertAlign val="superscript"/>
        <sz val="11"/>
        <color theme="1"/>
        <rFont val="Calibri"/>
        <family val="2"/>
        <scheme val="minor"/>
      </rPr>
      <t>3</t>
    </r>
    <r>
      <rPr>
        <sz val="11"/>
        <color theme="1"/>
        <rFont val="Calibri"/>
        <family val="2"/>
        <scheme val="minor"/>
      </rPr>
      <t>)</t>
    </r>
  </si>
  <si>
    <t>Windrow Length (m)</t>
  </si>
  <si>
    <t>Windrow Width (m)</t>
  </si>
  <si>
    <t>Windrow Height (m)</t>
  </si>
  <si>
    <t>(assumes the windrow is triangular)</t>
  </si>
  <si>
    <t>Moisture (%)</t>
  </si>
  <si>
    <t>Wet Windrow Mass (kg)</t>
  </si>
  <si>
    <t>Dry Windrow Mass (kg)</t>
  </si>
  <si>
    <r>
      <t>Dry Bulk Density (kg/m</t>
    </r>
    <r>
      <rPr>
        <vertAlign val="superscript"/>
        <sz val="11"/>
        <color theme="1"/>
        <rFont val="Calibri"/>
        <family val="2"/>
        <scheme val="minor"/>
      </rPr>
      <t>3</t>
    </r>
    <r>
      <rPr>
        <sz val="11"/>
        <color theme="1"/>
        <rFont val="Calibri"/>
        <family val="2"/>
        <scheme val="minor"/>
      </rPr>
      <t>)</t>
    </r>
  </si>
  <si>
    <t>Wet Mass (kg)</t>
  </si>
  <si>
    <t>Current Moisture (%)</t>
  </si>
  <si>
    <t>Dry Mass (kg)</t>
  </si>
  <si>
    <t>Dry Matter (%)</t>
  </si>
  <si>
    <t>Batch Mass (kg)</t>
  </si>
  <si>
    <t>Lookup Value</t>
  </si>
  <si>
    <t>1: Choose feedstock types from the drop down menus</t>
  </si>
  <si>
    <t>2: Input the current moisture and mass of the available feedstocks</t>
  </si>
  <si>
    <t>4: Input the target Moisture</t>
  </si>
  <si>
    <t>3: Input the target C:N ratio</t>
  </si>
  <si>
    <t>Water Addition Calculator</t>
  </si>
  <si>
    <t>2: Enter the Target Moisture %</t>
  </si>
  <si>
    <t>Result</t>
  </si>
  <si>
    <t>Windrow Replicate</t>
  </si>
  <si>
    <t>Tray Mass (g)</t>
  </si>
  <si>
    <t>Wet Mass + Tray (g)</t>
  </si>
  <si>
    <t>Enter Data in Yellow Fields</t>
  </si>
  <si>
    <t>Bulk Density Calculator</t>
  </si>
  <si>
    <t>Moisture %:</t>
  </si>
  <si>
    <t>1: Fill in the Yellow Fields</t>
  </si>
  <si>
    <t>Mass of empty bucket (kg):</t>
  </si>
  <si>
    <t>Mass of water filled bucket (kg):</t>
  </si>
  <si>
    <t>Dry Mass + Tray (g)</t>
  </si>
  <si>
    <t>Wet Dry Conversions (Have Moisture)</t>
  </si>
  <si>
    <t>Wet Dry Conversions (Have Dry Matter)</t>
  </si>
  <si>
    <t>Converting Mass and Bulk Density Between Wet and Dry</t>
  </si>
  <si>
    <t>Unit Conversion Factors and Calculators</t>
  </si>
  <si>
    <t>Value of Row Unit</t>
  </si>
  <si>
    <t>(one to display general conversion factors)</t>
  </si>
  <si>
    <t>Mass</t>
  </si>
  <si>
    <t>Converted Into</t>
  </si>
  <si>
    <t>Length</t>
  </si>
  <si>
    <t>grams</t>
  </si>
  <si>
    <t>kilograms</t>
  </si>
  <si>
    <t>tonnes</t>
  </si>
  <si>
    <t>ounces</t>
  </si>
  <si>
    <t>pounds</t>
  </si>
  <si>
    <t>tons</t>
  </si>
  <si>
    <t>mm</t>
  </si>
  <si>
    <t>cm</t>
  </si>
  <si>
    <t>dm</t>
  </si>
  <si>
    <t>m</t>
  </si>
  <si>
    <t>km</t>
  </si>
  <si>
    <t>inch</t>
  </si>
  <si>
    <t>foot</t>
  </si>
  <si>
    <t>yard</t>
  </si>
  <si>
    <t>mile</t>
  </si>
  <si>
    <t>Volume</t>
  </si>
  <si>
    <r>
      <t>ml or cm</t>
    </r>
    <r>
      <rPr>
        <b/>
        <vertAlign val="superscript"/>
        <sz val="11"/>
        <color theme="1"/>
        <rFont val="Calibri"/>
        <family val="2"/>
        <scheme val="minor"/>
      </rPr>
      <t>3</t>
    </r>
  </si>
  <si>
    <r>
      <t>L or dm</t>
    </r>
    <r>
      <rPr>
        <b/>
        <vertAlign val="superscript"/>
        <sz val="11"/>
        <color theme="1"/>
        <rFont val="Calibri"/>
        <family val="2"/>
        <scheme val="minor"/>
      </rPr>
      <t>3</t>
    </r>
  </si>
  <si>
    <r>
      <t>m</t>
    </r>
    <r>
      <rPr>
        <b/>
        <vertAlign val="superscript"/>
        <sz val="11"/>
        <color theme="1"/>
        <rFont val="Calibri"/>
        <family val="2"/>
        <scheme val="minor"/>
      </rPr>
      <t>3</t>
    </r>
  </si>
  <si>
    <r>
      <t>ft</t>
    </r>
    <r>
      <rPr>
        <b/>
        <vertAlign val="superscript"/>
        <sz val="11"/>
        <color theme="1"/>
        <rFont val="Calibri"/>
        <family val="2"/>
        <scheme val="minor"/>
      </rPr>
      <t>3</t>
    </r>
  </si>
  <si>
    <r>
      <t>yd</t>
    </r>
    <r>
      <rPr>
        <b/>
        <vertAlign val="superscript"/>
        <sz val="11"/>
        <color theme="1"/>
        <rFont val="Calibri"/>
        <family val="2"/>
        <scheme val="minor"/>
      </rPr>
      <t>3</t>
    </r>
  </si>
  <si>
    <t>Red indicates outside of optimal or possible range</t>
  </si>
  <si>
    <t>Dry Analysis = Fresh Analysis / (Dry matter%/100)</t>
  </si>
  <si>
    <t>Fresh Analysis = Dry Analysis * Dry Matter%/100</t>
  </si>
  <si>
    <t>Feedstock as received</t>
  </si>
  <si>
    <t>1: Enter the Wet Bulk Density, the Windrow Dimensions and the Current Moisture %.</t>
  </si>
  <si>
    <t>1: Enter Feedstock Analysis Values into the Yellow Fields.</t>
  </si>
  <si>
    <t>2: Input the target C:N ratio</t>
  </si>
  <si>
    <t>Feedstock Mixing Ratios for Target Moisture</t>
  </si>
  <si>
    <t>Feedstock Mixing Ratios for Target C:N Ratio</t>
  </si>
  <si>
    <t>5: Adjust the feedstock types, C:N ratio and target moisture to develop a recipe which will provide a balanced mix of optimum C:N and Moisture (with adequate porosity). Record the final values as windrows are created.</t>
  </si>
  <si>
    <r>
      <t>Fresh Bulk Density (kg/m</t>
    </r>
    <r>
      <rPr>
        <vertAlign val="superscript"/>
        <sz val="11"/>
        <color theme="1"/>
        <rFont val="Calibri"/>
        <family val="2"/>
        <scheme val="minor"/>
      </rPr>
      <t>3</t>
    </r>
    <r>
      <rPr>
        <sz val="11"/>
        <color theme="1"/>
        <rFont val="Calibri"/>
        <family val="2"/>
        <scheme val="minor"/>
      </rPr>
      <t>)</t>
    </r>
  </si>
  <si>
    <t>1: Fill in the Table of Yellow Fields</t>
  </si>
  <si>
    <t>Optional</t>
  </si>
  <si>
    <t>94.5 - 99.5</t>
  </si>
  <si>
    <t>76.6 - 79.9</t>
  </si>
  <si>
    <t>49.7 - 67.7</t>
  </si>
  <si>
    <t>63.8 - 85.3</t>
  </si>
  <si>
    <t>62.5 - 78.0</t>
  </si>
  <si>
    <t>22.0 - 80.4</t>
  </si>
  <si>
    <t>23.3 - 64.1</t>
  </si>
  <si>
    <t>18.5 - 95.3</t>
  </si>
  <si>
    <t>Average Microwave Method Moisture =</t>
  </si>
  <si>
    <t xml:space="preserve">Estimated Oven Dried Moisture = </t>
  </si>
  <si>
    <t>Microwave Method Moisture =</t>
  </si>
  <si>
    <t>% Moisture</t>
  </si>
  <si>
    <t>Converting Microwave Method Moisture to Oven Dried</t>
  </si>
  <si>
    <t>Current Oven Dried Moisture (%)</t>
  </si>
  <si>
    <t>76.0 - 86.7</t>
  </si>
  <si>
    <t>9.2 - 17.0</t>
  </si>
  <si>
    <t>HRS Wheat Straw</t>
  </si>
  <si>
    <t>Moisture Calculator (Quick Microwave Method)</t>
  </si>
  <si>
    <t>&lt;-- use this value directly for oven dried method</t>
  </si>
  <si>
    <t>** Moisture range is minimum and maximum values</t>
  </si>
  <si>
    <t>Composting Facility Operating Guide                                                    The Composting Council (1994)</t>
  </si>
  <si>
    <t>Compost Facility Operator Manual John Paul and Dieter Geesing (2009)</t>
  </si>
  <si>
    <t>Moisture Range % **</t>
  </si>
  <si>
    <t>~30</t>
  </si>
  <si>
    <t>~55%</t>
  </si>
  <si>
    <t>Drywall</t>
  </si>
  <si>
    <t>Feedstock 3</t>
  </si>
  <si>
    <t>Feedstock 3 (F3)</t>
  </si>
  <si>
    <t>Feedstock 1 and 2 (F1+F2)</t>
  </si>
  <si>
    <t>2 Feedstock Blending Calculator using Historical Feedstock Analysis</t>
  </si>
  <si>
    <t>Custom 2 or 3 Feedstock Blending Calculator using Current Feedstock Analysis</t>
  </si>
  <si>
    <t>Barley Silage (Fresh Cut Est Moisture)</t>
  </si>
  <si>
    <t>Woodchips</t>
  </si>
  <si>
    <t>* Carbon content of feedstock has been estimated</t>
  </si>
  <si>
    <t>91.0 - 99.0</t>
  </si>
  <si>
    <t>80.1 - 99.0</t>
  </si>
  <si>
    <t>61.6 - 79.9</t>
  </si>
  <si>
    <t>81.3 - 97.4</t>
  </si>
  <si>
    <t>Book Values ***</t>
  </si>
  <si>
    <t>Default</t>
  </si>
  <si>
    <t>Moisture Option</t>
  </si>
  <si>
    <t>Mass Ratio</t>
  </si>
  <si>
    <t>Volume Ratio</t>
  </si>
  <si>
    <r>
      <t>Bulk Density (kg L</t>
    </r>
    <r>
      <rPr>
        <b/>
        <vertAlign val="superscript"/>
        <sz val="11"/>
        <color theme="1"/>
        <rFont val="Calibri"/>
        <family val="2"/>
        <scheme val="minor"/>
      </rPr>
      <t>-1</t>
    </r>
    <r>
      <rPr>
        <b/>
        <sz val="11"/>
        <color theme="1"/>
        <rFont val="Calibri"/>
        <family val="2"/>
        <scheme val="minor"/>
      </rPr>
      <t>)</t>
    </r>
  </si>
  <si>
    <t xml:space="preserve">NCLE Long Term Plot Average *    Database Query Feb 12, 2013           </t>
  </si>
  <si>
    <t>*** Missing values have been estimated from similar entries. To be replaced when actual analysis has been completed.</t>
  </si>
  <si>
    <t>3: Input the target Moisture</t>
  </si>
  <si>
    <t>6: Input the target C:N ratio</t>
  </si>
  <si>
    <t>7: Input the target Moisture</t>
  </si>
  <si>
    <t>&lt;--- Batch mass assumes all of F1 was used and blended with the appropriate amount of F2.</t>
  </si>
  <si>
    <t>Optimize F1 and F2 by:</t>
  </si>
  <si>
    <t>5: Optional: Blend the above with a third ingredient:</t>
  </si>
  <si>
    <t>C % (Wet)</t>
  </si>
  <si>
    <t>N % (Wet)</t>
  </si>
  <si>
    <t>F1:F2 = ((E20/100)-(C25*(F20/100)))/((C25*(F19/100))-(E19/100))</t>
  </si>
  <si>
    <t>Moisture =100*((F1Ratio*(F1Moisture/100))+(F2Ratio*(F2Moisture/100)))/(F1Ratio+F2Ratio)</t>
  </si>
  <si>
    <t>C:N=(F1Ratio*(F1Carbon/100)+F2Ratio*(F2Carbon/100))/(F1Ratio*(F1Nitrogen/100)+F2Ratio*(F2Nitrogen/100))</t>
  </si>
  <si>
    <t>3: Flow Rate</t>
  </si>
  <si>
    <t>L/sec</t>
  </si>
  <si>
    <t>Non-Legume Hay (Fresh Cut)</t>
  </si>
  <si>
    <t>Immature Rapeseed (Fresh Cut)</t>
  </si>
  <si>
    <t>Immature HRS Wheat (Fresh Cut)</t>
  </si>
  <si>
    <t>Immature Feed Wheat (Fresh Cut)</t>
  </si>
  <si>
    <t>HRS Wheat (Seed Est Moisture)</t>
  </si>
  <si>
    <t>Rapeseed (Seed Est Moisture)</t>
  </si>
  <si>
    <t>Est C %</t>
  </si>
  <si>
    <t>Est C:N</t>
  </si>
  <si>
    <t>Version</t>
  </si>
  <si>
    <t>Update</t>
  </si>
  <si>
    <t>Original Release</t>
  </si>
  <si>
    <t>Updated some formulae and added more feedstock materials</t>
  </si>
  <si>
    <t>Source Name</t>
  </si>
  <si>
    <t>Book</t>
  </si>
  <si>
    <t xml:space="preserve">Est. </t>
  </si>
  <si>
    <t>Op Manual (Paul &amp; Geesing)</t>
  </si>
  <si>
    <t>Op Manual (Comp Council)</t>
  </si>
  <si>
    <t>Estimated</t>
  </si>
  <si>
    <t>Liquid Hog Manure</t>
  </si>
  <si>
    <t>Liquid Dairy Manure</t>
  </si>
  <si>
    <t>Solid Beef Manure</t>
  </si>
  <si>
    <t>Liquid Poultry Manure</t>
  </si>
  <si>
    <t>NCLE LT</t>
  </si>
  <si>
    <t>Tri-Prov</t>
  </si>
  <si>
    <t>Expanded Feedstock Name</t>
  </si>
  <si>
    <t>Volume Ratio (BD Supplied)</t>
  </si>
  <si>
    <t>Optional (Required for Volume Ratios)</t>
  </si>
  <si>
    <t>5: Adjust the feedstock types, C:N ratio and target moisture to develop a recipe providing a balanced mix of optimum C:N and Moisture. Note that coarser materials may be able to tolerate higher moisture levels but may also require larger piles for adequate heating. Record the final values as windrows are created.</t>
  </si>
  <si>
    <t>Updated some formulae and added the ability to blend with more than 2 feedstocks for manual entry. Added volume ratios to historical value page.</t>
  </si>
  <si>
    <t>4: Adjust the feedstock types, C:N ratio and target moisture to develop a recipe providing a balanced mix of optimum C:N and Moisture. Note that coarser materials may be able to tolerate higher moisture levels but may also require larger piles for adequate heating. Record the final values as windrows are created. If the target C:N or moisture was not achieved proceed to step 5 to blend an additional ingredient.</t>
  </si>
  <si>
    <t>F1:F2:F3</t>
  </si>
  <si>
    <t>F1+F2</t>
  </si>
  <si>
    <t>F1</t>
  </si>
  <si>
    <t>F2</t>
  </si>
  <si>
    <t>If negative ratio target cannot be achieved with the selected feedstocks</t>
  </si>
  <si>
    <t>if #DIV/0! Error: C:N has already been optimized using 2 feedstocks</t>
  </si>
  <si>
    <t>Optional (Required for Batch Mass Estimates)</t>
  </si>
  <si>
    <t>8: Adjust the feedstock types, C:N ratio and target moisture to develop a recipe which will provide a balanced mix of optimum C:N and Moisture. Record the final values as windrows are created. Note that coarser materials may be able to tolerate higher moisture levels but may also require larger piles for adequate heating. Record the final values as windrows are created.</t>
  </si>
  <si>
    <t>Optional    Alternate Moisture</t>
  </si>
  <si>
    <t xml:space="preserve">                       Default Moisture</t>
  </si>
  <si>
    <t>Volume Ratio (If BD Supplied)</t>
  </si>
  <si>
    <t>Bucket volume (L)         (water filled mass)</t>
  </si>
  <si>
    <t>Time to Fill (sec)</t>
  </si>
  <si>
    <t>Update formulae to use full columns enabling addition of your own feedstocks without disrupting drop-down menus, added volume ratios to manual calcuator, added flow rates and time to water additions.</t>
  </si>
  <si>
    <t>Windrow Mass Estimator</t>
  </si>
  <si>
    <t>Mass of compost filled bucket (kg):</t>
  </si>
  <si>
    <t>Enter Values in Yellow Cells</t>
  </si>
  <si>
    <t>Adding or modifying values in this table will cause them to appear in the drop down menus of the "Blend Calc (Historical Value)" tab</t>
  </si>
  <si>
    <t>Red = Estimated Value (replace with actual values if possible)</t>
  </si>
  <si>
    <t>Bale</t>
  </si>
  <si>
    <t>User Modified Data</t>
  </si>
  <si>
    <t>Solid Dairy Replacement</t>
  </si>
  <si>
    <t>Solid Dairy Molehill</t>
  </si>
  <si>
    <t>Elm Woodchips</t>
  </si>
  <si>
    <t>Blended Manure + Woodchips</t>
  </si>
  <si>
    <t>Hay</t>
  </si>
  <si>
    <t>Blended Manure + Hay</t>
  </si>
  <si>
    <t>Canola Meal</t>
  </si>
  <si>
    <t>2015 Assessment</t>
  </si>
  <si>
    <t>Lab Analysis</t>
  </si>
  <si>
    <t>|</t>
  </si>
  <si>
    <t>V</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</si>
</sst>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0.000"/>
    <numFmt numFmtId="166" formatCode="0.0000"/>
    <numFmt numFmtId="167" formatCode="0.000000"/>
    <numFmt numFmtId="168" formatCode="0.0000000"/>
  </numFmts>
  <fonts count="24" x14ac:knownFonts="1">
    <font>
      <sz val="11"/>
      <color theme="1"/>
      <name val="Calibri"/>
      <family val="2"/>
      <scheme val="minor"/>
    </font>
    <font>
      <sz val="11"/>
      <color indexed="8"/>
      <name val="Calibri"/>
      <family val="2"/>
    </font>
    <font>
      <sz val="10"/>
      <color indexed="8"/>
      <name val="Arial"/>
      <family val="2"/>
    </font>
    <font>
      <sz val="11"/>
      <color indexed="8"/>
      <name val="Calibri"/>
      <family val="2"/>
    </font>
    <font>
      <sz val="10"/>
      <color indexed="8"/>
      <name val="Arial"/>
      <family val="2"/>
    </font>
    <font>
      <b/>
      <sz val="11"/>
      <color theme="1"/>
      <name val="Calibri"/>
      <family val="2"/>
      <scheme val="minor"/>
    </font>
    <font>
      <sz val="11"/>
      <name val="Calibri"/>
      <family val="2"/>
      <scheme val="minor"/>
    </font>
    <font>
      <vertAlign val="superscript"/>
      <sz val="11"/>
      <color theme="1"/>
      <name val="Calibri"/>
      <family val="2"/>
      <scheme val="minor"/>
    </font>
    <font>
      <b/>
      <sz val="1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2"/>
      <name val="Calibri"/>
      <family val="2"/>
      <scheme val="minor"/>
    </font>
    <font>
      <b/>
      <sz val="16"/>
      <color theme="1"/>
      <name val="Calibri"/>
      <family val="2"/>
      <scheme val="minor"/>
    </font>
    <font>
      <b/>
      <vertAlign val="superscript"/>
      <sz val="11"/>
      <color theme="1"/>
      <name val="Calibri"/>
      <family val="2"/>
      <scheme val="minor"/>
    </font>
    <font>
      <sz val="10"/>
      <color indexed="8"/>
      <name val="Arial"/>
      <family val="2"/>
    </font>
    <font>
      <sz val="8"/>
      <color rgb="FF000000"/>
      <name val="Tahoma"/>
      <family val="2"/>
    </font>
    <font>
      <b/>
      <sz val="11"/>
      <color indexed="8"/>
      <name val="Calibri"/>
      <family val="2"/>
    </font>
    <font>
      <sz val="11"/>
      <color rgb="FFFF0000"/>
      <name val="Calibri"/>
      <family val="2"/>
      <scheme val="minor"/>
    </font>
    <font>
      <b/>
      <sz val="11"/>
      <color rgb="FFFF0000"/>
      <name val="Calibri"/>
      <family val="2"/>
      <scheme val="minor"/>
    </font>
    <font>
      <b/>
      <sz val="11"/>
      <color rgb="FFFF0000"/>
      <name val="Calibri"/>
      <family val="2"/>
    </font>
    <font>
      <sz val="11"/>
      <color rgb="FFFF0000"/>
      <name val="Calibri"/>
      <family val="2"/>
    </font>
    <font>
      <b/>
      <sz val="11"/>
      <name val="Calibri"/>
      <family val="2"/>
    </font>
  </fonts>
  <fills count="7">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top style="thin">
        <color indexed="8"/>
      </top>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thin">
        <color indexed="64"/>
      </right>
      <top style="thin">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8"/>
      </left>
      <right/>
      <top style="thin">
        <color indexed="64"/>
      </top>
      <bottom/>
      <diagonal/>
    </border>
    <border>
      <left style="thin">
        <color theme="0" tint="-0.34998626667073579"/>
      </left>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bottom style="thin">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indexed="64"/>
      </bottom>
      <diagonal/>
    </border>
    <border>
      <left/>
      <right style="thin">
        <color indexed="8"/>
      </right>
      <top style="thin">
        <color indexed="64"/>
      </top>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right style="thin">
        <color theme="0" tint="-0.24994659260841701"/>
      </right>
      <top/>
      <bottom style="thin">
        <color indexed="64"/>
      </bottom>
      <diagonal/>
    </border>
    <border>
      <left style="thin">
        <color theme="0" tint="-0.24994659260841701"/>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theme="0" tint="-0.34998626667073579"/>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
      <left style="thin">
        <color theme="0" tint="-0.24994659260841701"/>
      </left>
      <right/>
      <top style="thin">
        <color indexed="64"/>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indexed="64"/>
      </right>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22"/>
      </left>
      <right style="thin">
        <color indexed="22"/>
      </right>
      <top style="thin">
        <color indexed="22"/>
      </top>
      <bottom style="thin">
        <color indexed="22"/>
      </bottom>
      <diagonal/>
    </border>
    <border>
      <left style="thin">
        <color theme="0" tint="-0.34998626667073579"/>
      </left>
      <right style="thin">
        <color indexed="64"/>
      </right>
      <top style="thin">
        <color theme="0" tint="-0.34998626667073579"/>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theme="0" tint="-0.34998626667073579"/>
      </top>
      <bottom/>
      <diagonal/>
    </border>
    <border>
      <left style="thin">
        <color theme="0" tint="-0.34998626667073579"/>
      </left>
      <right/>
      <top/>
      <bottom style="thin">
        <color indexed="64"/>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hair">
        <color indexed="64"/>
      </left>
      <right/>
      <top style="hair">
        <color indexed="64"/>
      </top>
      <bottom/>
      <diagonal/>
    </border>
    <border>
      <left style="hair">
        <color indexed="64"/>
      </left>
      <right style="hair">
        <color indexed="64"/>
      </right>
      <top style="thin">
        <color indexed="64"/>
      </top>
      <bottom/>
      <diagonal/>
    </border>
  </borders>
  <cellStyleXfs count="4">
    <xf numFmtId="0" fontId="0" fillId="0" borderId="0"/>
    <xf numFmtId="0" fontId="2" fillId="0" borderId="0"/>
    <xf numFmtId="0" fontId="4" fillId="0" borderId="0"/>
    <xf numFmtId="0" fontId="16" fillId="0" borderId="0"/>
  </cellStyleXfs>
  <cellXfs count="587">
    <xf numFmtId="0" fontId="0" fillId="0" borderId="0" xfId="0"/>
    <xf numFmtId="9" fontId="0" fillId="0" borderId="0" xfId="0" applyNumberFormat="1"/>
    <xf numFmtId="0" fontId="5" fillId="0" borderId="0" xfId="0" applyFont="1"/>
    <xf numFmtId="0" fontId="5" fillId="3" borderId="0" xfId="0" applyFont="1" applyFill="1"/>
    <xf numFmtId="0" fontId="5" fillId="4" borderId="0" xfId="0" applyFont="1" applyFill="1"/>
    <xf numFmtId="0" fontId="5" fillId="5" borderId="0" xfId="0" applyFont="1" applyFill="1"/>
    <xf numFmtId="0" fontId="0" fillId="0" borderId="0" xfId="0" applyFont="1"/>
    <xf numFmtId="0" fontId="5" fillId="0" borderId="7" xfId="0" applyFont="1" applyBorder="1"/>
    <xf numFmtId="0" fontId="5" fillId="0" borderId="8" xfId="0" applyFont="1" applyBorder="1"/>
    <xf numFmtId="0" fontId="5" fillId="0" borderId="1" xfId="0" applyFont="1" applyBorder="1"/>
    <xf numFmtId="0" fontId="5" fillId="0" borderId="44" xfId="0" applyFont="1" applyBorder="1"/>
    <xf numFmtId="0" fontId="5" fillId="0" borderId="45" xfId="0" applyFont="1" applyBorder="1"/>
    <xf numFmtId="0" fontId="5" fillId="0" borderId="2" xfId="0" applyFont="1" applyBorder="1"/>
    <xf numFmtId="0" fontId="0" fillId="3" borderId="4" xfId="0" applyFill="1" applyBorder="1"/>
    <xf numFmtId="0" fontId="0" fillId="0" borderId="46" xfId="0" applyBorder="1"/>
    <xf numFmtId="0" fontId="0" fillId="0" borderId="47" xfId="0" applyBorder="1"/>
    <xf numFmtId="0" fontId="5" fillId="0" borderId="32" xfId="0" applyFont="1" applyBorder="1"/>
    <xf numFmtId="2" fontId="0" fillId="0" borderId="48" xfId="0" applyNumberFormat="1" applyBorder="1"/>
    <xf numFmtId="2" fontId="0" fillId="0" borderId="46" xfId="0" applyNumberFormat="1" applyBorder="1"/>
    <xf numFmtId="2" fontId="0" fillId="0" borderId="47" xfId="0" applyNumberFormat="1" applyBorder="1"/>
    <xf numFmtId="0" fontId="0" fillId="0" borderId="49" xfId="0" applyBorder="1"/>
    <xf numFmtId="0" fontId="5" fillId="0" borderId="0" xfId="0" applyFont="1" applyFill="1"/>
    <xf numFmtId="0" fontId="5" fillId="0" borderId="0" xfId="0" applyFont="1" applyFill="1" applyBorder="1"/>
    <xf numFmtId="0" fontId="0" fillId="0" borderId="0" xfId="0" applyFill="1" applyBorder="1"/>
    <xf numFmtId="0" fontId="0" fillId="0" borderId="0" xfId="0" applyFill="1"/>
    <xf numFmtId="0" fontId="0" fillId="0" borderId="0" xfId="0" applyFont="1" applyFill="1"/>
    <xf numFmtId="1" fontId="0" fillId="3" borderId="4" xfId="0" applyNumberFormat="1" applyFill="1" applyBorder="1"/>
    <xf numFmtId="1" fontId="0" fillId="0" borderId="0" xfId="0" applyNumberFormat="1"/>
    <xf numFmtId="0" fontId="0" fillId="0" borderId="7" xfId="0" applyBorder="1"/>
    <xf numFmtId="0" fontId="0" fillId="0" borderId="12" xfId="0" applyBorder="1"/>
    <xf numFmtId="0" fontId="0" fillId="0" borderId="0" xfId="0" applyBorder="1"/>
    <xf numFmtId="1" fontId="0" fillId="0" borderId="0" xfId="0" applyNumberFormat="1" applyBorder="1"/>
    <xf numFmtId="1" fontId="0" fillId="0" borderId="50" xfId="0" applyNumberFormat="1" applyBorder="1"/>
    <xf numFmtId="0" fontId="0" fillId="0" borderId="13" xfId="0" applyBorder="1"/>
    <xf numFmtId="0" fontId="0" fillId="0" borderId="51" xfId="0" applyBorder="1"/>
    <xf numFmtId="1" fontId="0" fillId="0" borderId="51" xfId="0" applyNumberFormat="1" applyBorder="1"/>
    <xf numFmtId="1" fontId="0" fillId="0" borderId="52" xfId="0" applyNumberFormat="1" applyBorder="1"/>
    <xf numFmtId="0" fontId="0" fillId="0" borderId="52" xfId="0" applyBorder="1"/>
    <xf numFmtId="0" fontId="0" fillId="0" borderId="50" xfId="0" applyBorder="1"/>
    <xf numFmtId="0" fontId="0" fillId="0" borderId="11" xfId="0" applyFill="1" applyBorder="1"/>
    <xf numFmtId="0" fontId="0" fillId="0" borderId="13" xfId="0" applyFill="1" applyBorder="1"/>
    <xf numFmtId="0" fontId="0" fillId="0" borderId="7" xfId="0" applyFill="1" applyBorder="1"/>
    <xf numFmtId="0" fontId="0" fillId="0" borderId="51" xfId="0" applyFill="1" applyBorder="1"/>
    <xf numFmtId="0" fontId="5" fillId="0" borderId="3" xfId="0" applyFont="1" applyBorder="1"/>
    <xf numFmtId="0" fontId="5" fillId="0" borderId="51" xfId="0" applyFont="1" applyBorder="1"/>
    <xf numFmtId="0" fontId="8" fillId="0" borderId="0" xfId="0" applyFont="1" applyFill="1"/>
    <xf numFmtId="0" fontId="8" fillId="3" borderId="0" xfId="0" applyFont="1" applyFill="1"/>
    <xf numFmtId="0" fontId="5" fillId="0" borderId="11" xfId="0" applyFont="1" applyBorder="1"/>
    <xf numFmtId="0" fontId="5" fillId="0" borderId="13" xfId="0" applyFont="1" applyBorder="1"/>
    <xf numFmtId="164" fontId="5" fillId="0" borderId="57" xfId="0" applyNumberFormat="1" applyFont="1" applyBorder="1"/>
    <xf numFmtId="164" fontId="5" fillId="0" borderId="11" xfId="0" applyNumberFormat="1" applyFont="1" applyBorder="1"/>
    <xf numFmtId="164" fontId="0" fillId="0" borderId="0" xfId="0" applyNumberFormat="1"/>
    <xf numFmtId="164" fontId="5" fillId="0" borderId="58" xfId="0" applyNumberFormat="1" applyFont="1" applyBorder="1"/>
    <xf numFmtId="164" fontId="5" fillId="0" borderId="13" xfId="0" applyNumberFormat="1" applyFont="1" applyBorder="1"/>
    <xf numFmtId="164" fontId="5" fillId="0" borderId="0" xfId="0" applyNumberFormat="1" applyFont="1"/>
    <xf numFmtId="164" fontId="5" fillId="0" borderId="1" xfId="0" applyNumberFormat="1" applyFont="1" applyBorder="1"/>
    <xf numFmtId="164" fontId="5" fillId="0" borderId="7" xfId="0" applyNumberFormat="1" applyFont="1" applyBorder="1"/>
    <xf numFmtId="164" fontId="5" fillId="0" borderId="8" xfId="0" applyNumberFormat="1" applyFont="1" applyBorder="1"/>
    <xf numFmtId="164" fontId="5" fillId="0" borderId="0" xfId="0" applyNumberFormat="1" applyFont="1" applyFill="1" applyBorder="1"/>
    <xf numFmtId="164" fontId="5" fillId="0" borderId="44" xfId="0" applyNumberFormat="1" applyFont="1" applyBorder="1"/>
    <xf numFmtId="164" fontId="5" fillId="0" borderId="54" xfId="0" applyNumberFormat="1" applyFont="1" applyBorder="1"/>
    <xf numFmtId="164" fontId="0" fillId="6" borderId="38" xfId="0" applyNumberFormat="1" applyFill="1" applyBorder="1"/>
    <xf numFmtId="164" fontId="0" fillId="6" borderId="39" xfId="0" applyNumberFormat="1" applyFill="1" applyBorder="1"/>
    <xf numFmtId="164" fontId="5" fillId="0" borderId="45" xfId="0" applyNumberFormat="1" applyFont="1" applyBorder="1"/>
    <xf numFmtId="164" fontId="5" fillId="0" borderId="55" xfId="0" applyNumberFormat="1" applyFont="1" applyBorder="1"/>
    <xf numFmtId="164" fontId="0" fillId="6" borderId="40" xfId="0" applyNumberFormat="1" applyFill="1" applyBorder="1"/>
    <xf numFmtId="164" fontId="0" fillId="6" borderId="41" xfId="0" applyNumberFormat="1" applyFill="1" applyBorder="1"/>
    <xf numFmtId="164" fontId="0" fillId="6" borderId="56" xfId="0" applyNumberFormat="1" applyFill="1" applyBorder="1"/>
    <xf numFmtId="164" fontId="0" fillId="6" borderId="61" xfId="0" applyNumberFormat="1" applyFill="1" applyBorder="1"/>
    <xf numFmtId="164" fontId="0" fillId="0" borderId="11" xfId="0" applyNumberFormat="1" applyFill="1" applyBorder="1"/>
    <xf numFmtId="0" fontId="9" fillId="0" borderId="0" xfId="0" applyFont="1"/>
    <xf numFmtId="0" fontId="10" fillId="0" borderId="0" xfId="0" applyFont="1"/>
    <xf numFmtId="0" fontId="10" fillId="0" borderId="0" xfId="0" applyFont="1" applyFill="1"/>
    <xf numFmtId="0" fontId="11" fillId="0" borderId="0" xfId="0" applyFont="1"/>
    <xf numFmtId="0" fontId="12" fillId="0" borderId="0" xfId="0" applyFont="1"/>
    <xf numFmtId="0" fontId="12" fillId="0" borderId="0" xfId="0" applyFont="1" applyFill="1"/>
    <xf numFmtId="0" fontId="9" fillId="0" borderId="0" xfId="0" applyFont="1" applyFill="1"/>
    <xf numFmtId="0" fontId="13" fillId="0" borderId="0" xfId="0" applyFont="1" applyFill="1"/>
    <xf numFmtId="0" fontId="14" fillId="0" borderId="0" xfId="0" applyFont="1"/>
    <xf numFmtId="1" fontId="14" fillId="0" borderId="0" xfId="0" applyNumberFormat="1" applyFont="1"/>
    <xf numFmtId="1" fontId="9" fillId="0" borderId="0" xfId="0" applyNumberFormat="1" applyFont="1"/>
    <xf numFmtId="0" fontId="0" fillId="5" borderId="62" xfId="0" applyFill="1" applyBorder="1"/>
    <xf numFmtId="1" fontId="0" fillId="5" borderId="32" xfId="0" applyNumberFormat="1" applyFill="1" applyBorder="1"/>
    <xf numFmtId="0" fontId="0" fillId="0" borderId="28" xfId="0" applyFill="1" applyBorder="1"/>
    <xf numFmtId="0" fontId="0" fillId="3" borderId="0" xfId="0" applyFill="1"/>
    <xf numFmtId="0" fontId="6" fillId="5" borderId="0" xfId="0" applyFont="1" applyFill="1"/>
    <xf numFmtId="0" fontId="0" fillId="5" borderId="0" xfId="0" applyFill="1"/>
    <xf numFmtId="0" fontId="0" fillId="0" borderId="2" xfId="0" applyBorder="1"/>
    <xf numFmtId="0" fontId="0" fillId="0" borderId="3" xfId="0" applyBorder="1"/>
    <xf numFmtId="0" fontId="0" fillId="0" borderId="1" xfId="0" applyFill="1" applyBorder="1"/>
    <xf numFmtId="0" fontId="6" fillId="0" borderId="0" xfId="0" applyFont="1" applyFill="1"/>
    <xf numFmtId="164" fontId="0" fillId="0" borderId="8" xfId="0" applyNumberFormat="1" applyFill="1" applyBorder="1"/>
    <xf numFmtId="164" fontId="0" fillId="0" borderId="52" xfId="0" applyNumberFormat="1" applyFill="1" applyBorder="1"/>
    <xf numFmtId="164" fontId="0" fillId="0" borderId="12" xfId="0" applyNumberFormat="1" applyFill="1" applyBorder="1"/>
    <xf numFmtId="164" fontId="0" fillId="0" borderId="50" xfId="0" applyNumberFormat="1" applyFill="1" applyBorder="1"/>
    <xf numFmtId="0" fontId="11" fillId="0" borderId="11" xfId="0" applyFont="1" applyBorder="1"/>
    <xf numFmtId="0" fontId="11" fillId="0" borderId="7" xfId="0" applyFont="1" applyBorder="1"/>
    <xf numFmtId="0" fontId="11" fillId="0" borderId="8" xfId="0" applyFont="1" applyBorder="1"/>
    <xf numFmtId="164" fontId="0" fillId="0" borderId="0" xfId="0" applyNumberFormat="1" applyBorder="1"/>
    <xf numFmtId="0" fontId="5" fillId="0" borderId="28" xfId="0" applyFont="1" applyBorder="1"/>
    <xf numFmtId="0" fontId="5" fillId="0" borderId="62" xfId="0" applyFont="1" applyBorder="1"/>
    <xf numFmtId="0" fontId="5" fillId="0" borderId="12" xfId="0" applyFont="1" applyBorder="1"/>
    <xf numFmtId="0" fontId="5" fillId="0" borderId="12" xfId="0" applyFont="1" applyBorder="1" applyAlignment="1">
      <alignment horizontal="center"/>
    </xf>
    <xf numFmtId="0" fontId="5" fillId="0" borderId="0" xfId="0" applyFont="1" applyBorder="1" applyAlignment="1">
      <alignment horizontal="center"/>
    </xf>
    <xf numFmtId="0" fontId="5" fillId="0" borderId="50" xfId="0" applyFont="1" applyBorder="1" applyAlignment="1">
      <alignment horizontal="center"/>
    </xf>
    <xf numFmtId="165" fontId="0" fillId="0" borderId="11" xfId="0" applyNumberFormat="1" applyBorder="1"/>
    <xf numFmtId="165" fontId="0" fillId="0" borderId="7" xfId="0" applyNumberFormat="1" applyBorder="1"/>
    <xf numFmtId="165" fontId="0" fillId="0" borderId="8" xfId="0" applyNumberFormat="1" applyBorder="1"/>
    <xf numFmtId="165" fontId="0" fillId="0" borderId="12" xfId="0" applyNumberFormat="1" applyBorder="1"/>
    <xf numFmtId="165" fontId="0" fillId="0" borderId="0" xfId="0" applyNumberFormat="1" applyBorder="1"/>
    <xf numFmtId="165" fontId="0" fillId="0" borderId="50" xfId="0" applyNumberFormat="1" applyBorder="1"/>
    <xf numFmtId="165" fontId="0" fillId="0" borderId="13" xfId="0" applyNumberFormat="1" applyBorder="1"/>
    <xf numFmtId="165" fontId="0" fillId="0" borderId="51" xfId="0" applyNumberFormat="1" applyBorder="1"/>
    <xf numFmtId="165" fontId="0" fillId="0" borderId="52" xfId="0" applyNumberFormat="1" applyBorder="1"/>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9" fillId="0" borderId="0" xfId="0" applyFont="1" applyBorder="1"/>
    <xf numFmtId="0" fontId="5" fillId="0" borderId="0" xfId="0" applyFont="1" applyAlignment="1">
      <alignment horizontal="left"/>
    </xf>
    <xf numFmtId="0" fontId="5" fillId="0" borderId="0" xfId="0" applyFont="1" applyAlignment="1">
      <alignment horizontal="right"/>
    </xf>
    <xf numFmtId="9" fontId="5" fillId="0" borderId="0" xfId="0" applyNumberFormat="1" applyFont="1" applyAlignment="1">
      <alignment horizontal="left"/>
    </xf>
    <xf numFmtId="0" fontId="0" fillId="0" borderId="56" xfId="0" applyBorder="1"/>
    <xf numFmtId="0" fontId="0" fillId="0" borderId="63" xfId="0" applyBorder="1"/>
    <xf numFmtId="0" fontId="0" fillId="0" borderId="61" xfId="0" applyBorder="1"/>
    <xf numFmtId="0" fontId="0" fillId="5" borderId="39" xfId="0" applyFill="1" applyBorder="1"/>
    <xf numFmtId="0" fontId="0" fillId="5" borderId="41" xfId="0" applyFill="1" applyBorder="1"/>
    <xf numFmtId="164" fontId="0" fillId="5" borderId="44" xfId="0" applyNumberFormat="1" applyFill="1" applyBorder="1"/>
    <xf numFmtId="164" fontId="0" fillId="5" borderId="69" xfId="0" applyNumberFormat="1" applyFill="1" applyBorder="1"/>
    <xf numFmtId="164" fontId="0" fillId="5" borderId="45" xfId="0" applyNumberFormat="1" applyFill="1" applyBorder="1"/>
    <xf numFmtId="0" fontId="5" fillId="0" borderId="0" xfId="0" applyFont="1" applyBorder="1"/>
    <xf numFmtId="0" fontId="0" fillId="6" borderId="56" xfId="0" applyFill="1" applyBorder="1"/>
    <xf numFmtId="0" fontId="0" fillId="6" borderId="61" xfId="0" applyFill="1" applyBorder="1"/>
    <xf numFmtId="0" fontId="5" fillId="0" borderId="57" xfId="0" applyFont="1" applyBorder="1"/>
    <xf numFmtId="0" fontId="5" fillId="0" borderId="58" xfId="0" applyFont="1" applyBorder="1"/>
    <xf numFmtId="2" fontId="0" fillId="3" borderId="40" xfId="0" applyNumberFormat="1" applyFill="1" applyBorder="1"/>
    <xf numFmtId="9" fontId="0" fillId="0" borderId="7" xfId="0" applyNumberFormat="1" applyFill="1" applyBorder="1"/>
    <xf numFmtId="164" fontId="0" fillId="3" borderId="28" xfId="0" applyNumberFormat="1" applyFill="1" applyBorder="1"/>
    <xf numFmtId="164" fontId="0" fillId="3" borderId="32" xfId="0" applyNumberFormat="1" applyFill="1" applyBorder="1"/>
    <xf numFmtId="0" fontId="8" fillId="0" borderId="28" xfId="0" applyFont="1" applyFill="1" applyBorder="1"/>
    <xf numFmtId="2" fontId="0" fillId="6" borderId="38" xfId="0" applyNumberFormat="1" applyFill="1" applyBorder="1"/>
    <xf numFmtId="2" fontId="0" fillId="6" borderId="40" xfId="0" applyNumberFormat="1" applyFill="1" applyBorder="1"/>
    <xf numFmtId="2" fontId="0" fillId="0" borderId="0" xfId="0" applyNumberFormat="1"/>
    <xf numFmtId="2" fontId="5" fillId="0" borderId="7" xfId="0" applyNumberFormat="1" applyFont="1" applyBorder="1"/>
    <xf numFmtId="164" fontId="0" fillId="5" borderId="4" xfId="0" applyNumberFormat="1" applyFill="1" applyBorder="1"/>
    <xf numFmtId="0" fontId="0" fillId="0" borderId="2" xfId="0" applyFill="1" applyBorder="1" applyAlignment="1">
      <alignment horizontal="left"/>
    </xf>
    <xf numFmtId="0" fontId="0" fillId="0" borderId="3" xfId="0" applyFill="1" applyBorder="1" applyAlignment="1">
      <alignment horizontal="left"/>
    </xf>
    <xf numFmtId="0" fontId="0" fillId="0" borderId="8" xfId="0" applyBorder="1"/>
    <xf numFmtId="0" fontId="0" fillId="0" borderId="0" xfId="0" applyBorder="1" applyAlignment="1">
      <alignment horizontal="center"/>
    </xf>
    <xf numFmtId="164" fontId="0" fillId="0" borderId="4" xfId="0" applyNumberFormat="1" applyFill="1" applyBorder="1"/>
    <xf numFmtId="0" fontId="0" fillId="0" borderId="11" xfId="0" applyFill="1" applyBorder="1" applyAlignment="1">
      <alignment horizontal="center" vertical="center"/>
    </xf>
    <xf numFmtId="0" fontId="0" fillId="0" borderId="7" xfId="0" applyFill="1" applyBorder="1" applyAlignment="1">
      <alignment horizontal="center" vertical="center"/>
    </xf>
    <xf numFmtId="1" fontId="0" fillId="0" borderId="7" xfId="0" applyNumberFormat="1" applyFill="1" applyBorder="1" applyAlignment="1">
      <alignment horizontal="center" vertical="center"/>
    </xf>
    <xf numFmtId="0" fontId="0" fillId="0" borderId="8" xfId="0" applyFill="1" applyBorder="1" applyAlignment="1">
      <alignment horizontal="center" vertical="center" wrapText="1"/>
    </xf>
    <xf numFmtId="0" fontId="5" fillId="6" borderId="0" xfId="0" applyFont="1" applyFill="1" applyBorder="1"/>
    <xf numFmtId="164" fontId="0" fillId="6" borderId="0" xfId="0" applyNumberFormat="1" applyFill="1" applyBorder="1"/>
    <xf numFmtId="2" fontId="0" fillId="6" borderId="0" xfId="0" applyNumberFormat="1" applyFill="1" applyBorder="1"/>
    <xf numFmtId="0" fontId="0" fillId="6" borderId="0" xfId="0" applyFill="1"/>
    <xf numFmtId="2" fontId="0" fillId="6" borderId="59" xfId="0" applyNumberFormat="1" applyFill="1" applyBorder="1"/>
    <xf numFmtId="2" fontId="0" fillId="6" borderId="60" xfId="0" applyNumberFormat="1" applyFill="1" applyBorder="1"/>
    <xf numFmtId="2" fontId="0" fillId="6" borderId="39" xfId="0" applyNumberFormat="1" applyFill="1" applyBorder="1"/>
    <xf numFmtId="2" fontId="0" fillId="6" borderId="41" xfId="0" applyNumberFormat="1" applyFill="1" applyBorder="1"/>
    <xf numFmtId="164" fontId="0" fillId="6" borderId="56" xfId="0" applyNumberFormat="1" applyFill="1" applyBorder="1" applyAlignment="1">
      <alignment wrapText="1"/>
    </xf>
    <xf numFmtId="164" fontId="0" fillId="6" borderId="38" xfId="0" applyNumberFormat="1" applyFill="1" applyBorder="1" applyAlignment="1">
      <alignment wrapText="1"/>
    </xf>
    <xf numFmtId="2" fontId="0" fillId="6" borderId="38" xfId="0" applyNumberFormat="1" applyFill="1" applyBorder="1" applyAlignment="1">
      <alignment wrapText="1"/>
    </xf>
    <xf numFmtId="164" fontId="0" fillId="6" borderId="59" xfId="0" applyNumberFormat="1" applyFill="1" applyBorder="1" applyAlignment="1">
      <alignment wrapText="1"/>
    </xf>
    <xf numFmtId="164" fontId="0" fillId="6" borderId="44" xfId="0" applyNumberFormat="1" applyFill="1" applyBorder="1" applyAlignment="1">
      <alignment wrapText="1"/>
    </xf>
    <xf numFmtId="0" fontId="0" fillId="0" borderId="0" xfId="0" applyAlignment="1">
      <alignment wrapText="1"/>
    </xf>
    <xf numFmtId="0" fontId="0" fillId="0" borderId="0" xfId="0" applyFill="1" applyAlignment="1"/>
    <xf numFmtId="0" fontId="9" fillId="3" borderId="0" xfId="0" applyFont="1" applyFill="1"/>
    <xf numFmtId="0" fontId="5" fillId="0" borderId="44" xfId="0" applyFont="1" applyBorder="1" applyAlignment="1">
      <alignment wrapText="1"/>
    </xf>
    <xf numFmtId="0" fontId="0" fillId="6" borderId="56" xfId="0" applyFill="1" applyBorder="1" applyAlignment="1">
      <alignment wrapText="1"/>
    </xf>
    <xf numFmtId="2" fontId="0" fillId="6" borderId="59" xfId="0" applyNumberFormat="1" applyFill="1" applyBorder="1" applyAlignment="1">
      <alignment wrapText="1"/>
    </xf>
    <xf numFmtId="2" fontId="0" fillId="6" borderId="39" xfId="0" applyNumberFormat="1" applyFill="1" applyBorder="1" applyAlignment="1">
      <alignment wrapText="1"/>
    </xf>
    <xf numFmtId="0" fontId="0" fillId="0" borderId="0" xfId="0" applyFill="1" applyBorder="1" applyAlignment="1">
      <alignment wrapText="1"/>
    </xf>
    <xf numFmtId="2" fontId="0" fillId="3" borderId="39" xfId="0" applyNumberFormat="1" applyFill="1" applyBorder="1"/>
    <xf numFmtId="2" fontId="0" fillId="3" borderId="41" xfId="0" applyNumberFormat="1" applyFill="1" applyBorder="1"/>
    <xf numFmtId="0" fontId="8" fillId="3" borderId="1" xfId="0" applyFont="1" applyFill="1" applyBorder="1"/>
    <xf numFmtId="0" fontId="8" fillId="3" borderId="28" xfId="0" applyFont="1" applyFill="1" applyBorder="1"/>
    <xf numFmtId="165" fontId="0" fillId="3" borderId="28" xfId="0" applyNumberFormat="1" applyFill="1" applyBorder="1"/>
    <xf numFmtId="165" fontId="0" fillId="3" borderId="32" xfId="0" applyNumberFormat="1" applyFill="1" applyBorder="1"/>
    <xf numFmtId="0" fontId="0" fillId="0" borderId="0" xfId="0" quotePrefix="1"/>
    <xf numFmtId="164" fontId="0" fillId="0" borderId="46" xfId="0" applyNumberFormat="1" applyBorder="1"/>
    <xf numFmtId="164" fontId="0" fillId="0" borderId="47" xfId="0" applyNumberFormat="1" applyBorder="1"/>
    <xf numFmtId="2" fontId="0" fillId="0" borderId="0" xfId="0" applyNumberFormat="1" applyBorder="1"/>
    <xf numFmtId="0" fontId="0" fillId="0" borderId="1" xfId="0" applyBorder="1"/>
    <xf numFmtId="2" fontId="0" fillId="0" borderId="1" xfId="0" applyNumberFormat="1" applyBorder="1"/>
    <xf numFmtId="164" fontId="0" fillId="0" borderId="1" xfId="0" applyNumberFormat="1" applyBorder="1"/>
    <xf numFmtId="0" fontId="8" fillId="6" borderId="28" xfId="0" applyFont="1" applyFill="1" applyBorder="1" applyAlignment="1">
      <alignment horizontal="center" vertical="center" wrapText="1"/>
    </xf>
    <xf numFmtId="0" fontId="8" fillId="0" borderId="28" xfId="0" applyFont="1" applyFill="1" applyBorder="1" applyAlignment="1">
      <alignment horizontal="center" vertical="center" wrapText="1"/>
    </xf>
    <xf numFmtId="164" fontId="6" fillId="0" borderId="1" xfId="0" applyNumberFormat="1" applyFont="1" applyBorder="1"/>
    <xf numFmtId="2" fontId="6" fillId="0" borderId="46" xfId="0" applyNumberFormat="1" applyFont="1" applyBorder="1"/>
    <xf numFmtId="0" fontId="0" fillId="0" borderId="11" xfId="0" applyBorder="1" applyAlignment="1">
      <alignment wrapText="1"/>
    </xf>
    <xf numFmtId="0" fontId="0" fillId="0" borderId="8" xfId="0" applyBorder="1" applyAlignment="1">
      <alignment wrapText="1"/>
    </xf>
    <xf numFmtId="1" fontId="0" fillId="0" borderId="0" xfId="0" applyNumberFormat="1" applyAlignment="1">
      <alignment wrapText="1"/>
    </xf>
    <xf numFmtId="0" fontId="5" fillId="0" borderId="0" xfId="0" applyFont="1" applyFill="1" applyAlignment="1">
      <alignment wrapText="1"/>
    </xf>
    <xf numFmtId="165" fontId="0" fillId="5" borderId="13" xfId="0" applyNumberFormat="1" applyFill="1" applyBorder="1" applyAlignment="1">
      <alignment wrapText="1"/>
    </xf>
    <xf numFmtId="164" fontId="0" fillId="5" borderId="52" xfId="0" applyNumberFormat="1" applyFill="1" applyBorder="1" applyAlignment="1">
      <alignment wrapText="1"/>
    </xf>
    <xf numFmtId="0" fontId="0" fillId="5" borderId="11" xfId="0" applyFill="1" applyBorder="1" applyAlignment="1">
      <alignment wrapText="1"/>
    </xf>
    <xf numFmtId="0" fontId="0" fillId="5" borderId="8" xfId="0" applyFill="1" applyBorder="1" applyAlignment="1">
      <alignment wrapText="1"/>
    </xf>
    <xf numFmtId="0" fontId="0" fillId="5" borderId="12" xfId="0" applyFill="1" applyBorder="1"/>
    <xf numFmtId="0" fontId="0" fillId="5" borderId="50" xfId="0" applyFill="1" applyBorder="1"/>
    <xf numFmtId="0" fontId="0" fillId="5" borderId="13" xfId="0" applyFill="1" applyBorder="1"/>
    <xf numFmtId="1" fontId="0" fillId="5" borderId="52" xfId="0" applyNumberFormat="1" applyFill="1" applyBorder="1"/>
    <xf numFmtId="167" fontId="0" fillId="0" borderId="7" xfId="0" applyNumberFormat="1" applyBorder="1"/>
    <xf numFmtId="164" fontId="0" fillId="0" borderId="51" xfId="0" applyNumberFormat="1" applyBorder="1"/>
    <xf numFmtId="166" fontId="0" fillId="0" borderId="50" xfId="0" applyNumberFormat="1" applyBorder="1"/>
    <xf numFmtId="168" fontId="0" fillId="0" borderId="8" xfId="0" applyNumberFormat="1" applyBorder="1"/>
    <xf numFmtId="1" fontId="0" fillId="0" borderId="11" xfId="0" applyNumberFormat="1" applyBorder="1"/>
    <xf numFmtId="1" fontId="0" fillId="0" borderId="12" xfId="0" applyNumberFormat="1" applyBorder="1"/>
    <xf numFmtId="164" fontId="0" fillId="0" borderId="50" xfId="0" applyNumberFormat="1" applyBorder="1"/>
    <xf numFmtId="0" fontId="12" fillId="0" borderId="0" xfId="0" applyFont="1" applyProtection="1">
      <protection locked="0"/>
    </xf>
    <xf numFmtId="0" fontId="0" fillId="0" borderId="0" xfId="0" applyProtection="1">
      <protection locked="0"/>
    </xf>
    <xf numFmtId="2" fontId="0" fillId="3" borderId="78" xfId="0" applyNumberFormat="1" applyFill="1" applyBorder="1" applyProtection="1">
      <protection locked="0"/>
    </xf>
    <xf numFmtId="164" fontId="0" fillId="3" borderId="28" xfId="0" applyNumberFormat="1" applyFill="1" applyBorder="1" applyProtection="1">
      <protection locked="0"/>
    </xf>
    <xf numFmtId="165" fontId="0" fillId="3" borderId="28" xfId="0" applyNumberFormat="1" applyFill="1" applyBorder="1" applyProtection="1">
      <protection locked="0"/>
    </xf>
    <xf numFmtId="2" fontId="0" fillId="3" borderId="79" xfId="0" applyNumberFormat="1" applyFill="1" applyBorder="1" applyProtection="1">
      <protection locked="0"/>
    </xf>
    <xf numFmtId="164" fontId="0" fillId="3" borderId="32" xfId="0" applyNumberFormat="1" applyFill="1" applyBorder="1" applyProtection="1">
      <protection locked="0"/>
    </xf>
    <xf numFmtId="165" fontId="0" fillId="3" borderId="32" xfId="0" applyNumberFormat="1" applyFill="1" applyBorder="1" applyProtection="1">
      <protection locked="0"/>
    </xf>
    <xf numFmtId="0" fontId="0" fillId="3" borderId="4" xfId="0" applyFill="1" applyBorder="1" applyProtection="1">
      <protection locked="0"/>
    </xf>
    <xf numFmtId="1" fontId="0" fillId="3" borderId="4" xfId="0" applyNumberFormat="1" applyFill="1" applyBorder="1" applyProtection="1">
      <protection locked="0"/>
    </xf>
    <xf numFmtId="0" fontId="11" fillId="0" borderId="0" xfId="0" applyFont="1" applyProtection="1"/>
    <xf numFmtId="0" fontId="12" fillId="0" borderId="0" xfId="0" applyFont="1" applyProtection="1"/>
    <xf numFmtId="0" fontId="12" fillId="0" borderId="0" xfId="0" applyFont="1" applyFill="1" applyProtection="1"/>
    <xf numFmtId="0" fontId="5" fillId="3" borderId="0" xfId="0" applyFont="1" applyFill="1" applyProtection="1"/>
    <xf numFmtId="0" fontId="0" fillId="0" borderId="0" xfId="0" applyProtection="1"/>
    <xf numFmtId="0" fontId="0" fillId="0" borderId="0" xfId="0" applyFill="1" applyProtection="1"/>
    <xf numFmtId="0" fontId="5" fillId="5" borderId="0" xfId="0" applyFont="1" applyFill="1" applyProtection="1"/>
    <xf numFmtId="0" fontId="5" fillId="4" borderId="0" xfId="0" applyFont="1" applyFill="1" applyProtection="1"/>
    <xf numFmtId="0" fontId="5" fillId="0" borderId="0" xfId="0" applyFont="1" applyProtection="1"/>
    <xf numFmtId="0" fontId="5" fillId="0" borderId="0" xfId="0" applyFont="1" applyFill="1" applyProtection="1"/>
    <xf numFmtId="0" fontId="9" fillId="0" borderId="0" xfId="0" applyFont="1" applyFill="1" applyProtection="1"/>
    <xf numFmtId="0" fontId="8" fillId="3" borderId="0" xfId="0" applyFont="1" applyFill="1" applyProtection="1"/>
    <xf numFmtId="0" fontId="8" fillId="0" borderId="0" xfId="0" applyFont="1" applyFill="1" applyProtection="1"/>
    <xf numFmtId="0" fontId="13" fillId="0" borderId="0" xfId="0" applyFont="1" applyFill="1" applyAlignment="1" applyProtection="1">
      <alignment horizontal="left" vertical="center"/>
    </xf>
    <xf numFmtId="0" fontId="13" fillId="0" borderId="0" xfId="0" applyFont="1" applyFill="1" applyAlignment="1" applyProtection="1">
      <alignment horizontal="center" vertical="center" wrapText="1"/>
    </xf>
    <xf numFmtId="0" fontId="8" fillId="3" borderId="1" xfId="0" applyFont="1" applyFill="1" applyBorder="1" applyAlignment="1" applyProtection="1">
      <alignment horizontal="left" vertical="center" wrapText="1"/>
    </xf>
    <xf numFmtId="0" fontId="8" fillId="3" borderId="28" xfId="0" applyFont="1" applyFill="1" applyBorder="1" applyAlignment="1" applyProtection="1">
      <alignment horizontal="left" vertical="center" wrapText="1"/>
    </xf>
    <xf numFmtId="0" fontId="8" fillId="3" borderId="28" xfId="0"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0" fontId="5" fillId="0" borderId="1" xfId="0" applyFont="1" applyBorder="1" applyProtection="1"/>
    <xf numFmtId="0" fontId="5" fillId="0" borderId="7" xfId="0" applyFont="1" applyBorder="1" applyProtection="1"/>
    <xf numFmtId="0" fontId="5" fillId="0" borderId="11" xfId="0" applyFont="1" applyBorder="1" applyProtection="1"/>
    <xf numFmtId="0" fontId="5" fillId="0" borderId="28" xfId="0" applyFont="1" applyBorder="1" applyProtection="1"/>
    <xf numFmtId="164" fontId="5" fillId="0" borderId="57" xfId="0" applyNumberFormat="1" applyFont="1" applyBorder="1" applyProtection="1"/>
    <xf numFmtId="164" fontId="5" fillId="0" borderId="11" xfId="0" applyNumberFormat="1" applyFont="1" applyBorder="1" applyProtection="1"/>
    <xf numFmtId="164" fontId="0" fillId="6" borderId="56" xfId="0" applyNumberFormat="1" applyFill="1" applyBorder="1" applyProtection="1"/>
    <xf numFmtId="164" fontId="0" fillId="6" borderId="38" xfId="0" applyNumberFormat="1" applyFill="1" applyBorder="1" applyProtection="1"/>
    <xf numFmtId="2" fontId="0" fillId="6" borderId="38" xfId="0" applyNumberFormat="1" applyFill="1" applyBorder="1" applyProtection="1"/>
    <xf numFmtId="164" fontId="0" fillId="6" borderId="39" xfId="0" applyNumberFormat="1" applyFill="1" applyBorder="1" applyProtection="1"/>
    <xf numFmtId="164" fontId="0" fillId="0" borderId="0" xfId="0" applyNumberFormat="1" applyProtection="1"/>
    <xf numFmtId="164" fontId="5" fillId="0" borderId="58" xfId="0" applyNumberFormat="1" applyFont="1" applyBorder="1" applyProtection="1"/>
    <xf numFmtId="164" fontId="0" fillId="6" borderId="61" xfId="0" applyNumberFormat="1" applyFill="1" applyBorder="1" applyProtection="1"/>
    <xf numFmtId="164" fontId="0" fillId="6" borderId="40" xfId="0" applyNumberFormat="1" applyFill="1" applyBorder="1" applyProtection="1"/>
    <xf numFmtId="2" fontId="0" fillId="6" borderId="40" xfId="0" applyNumberFormat="1" applyFill="1" applyBorder="1" applyProtection="1"/>
    <xf numFmtId="164" fontId="0" fillId="6" borderId="41" xfId="0" applyNumberFormat="1" applyFill="1" applyBorder="1" applyProtection="1"/>
    <xf numFmtId="164" fontId="5" fillId="0" borderId="0" xfId="0" applyNumberFormat="1" applyFont="1" applyProtection="1"/>
    <xf numFmtId="2" fontId="0" fillId="0" borderId="0" xfId="0" applyNumberFormat="1" applyProtection="1"/>
    <xf numFmtId="164" fontId="5" fillId="0" borderId="1" xfId="0" applyNumberFormat="1" applyFont="1" applyBorder="1" applyProtection="1"/>
    <xf numFmtId="164" fontId="5" fillId="0" borderId="7" xfId="0" applyNumberFormat="1" applyFont="1" applyBorder="1" applyProtection="1"/>
    <xf numFmtId="2" fontId="5" fillId="0" borderId="7" xfId="0" applyNumberFormat="1" applyFont="1" applyBorder="1" applyProtection="1"/>
    <xf numFmtId="164" fontId="5" fillId="0" borderId="8" xfId="0" applyNumberFormat="1" applyFont="1" applyBorder="1" applyProtection="1"/>
    <xf numFmtId="164" fontId="5" fillId="0" borderId="44" xfId="0" applyNumberFormat="1" applyFont="1" applyBorder="1" applyProtection="1"/>
    <xf numFmtId="164" fontId="5" fillId="0" borderId="54" xfId="0" applyNumberFormat="1" applyFont="1" applyBorder="1" applyProtection="1"/>
    <xf numFmtId="164" fontId="5" fillId="0" borderId="45" xfId="0" applyNumberFormat="1" applyFont="1" applyBorder="1" applyProtection="1"/>
    <xf numFmtId="164" fontId="5" fillId="0" borderId="55" xfId="0" applyNumberFormat="1" applyFont="1" applyBorder="1" applyProtection="1"/>
    <xf numFmtId="0" fontId="9" fillId="0" borderId="0" xfId="0" applyFont="1" applyProtection="1"/>
    <xf numFmtId="0" fontId="10" fillId="0" borderId="0" xfId="0" applyFont="1" applyProtection="1"/>
    <xf numFmtId="0" fontId="10" fillId="0" borderId="0" xfId="0" applyFont="1" applyFill="1" applyProtection="1"/>
    <xf numFmtId="0" fontId="5" fillId="0" borderId="2" xfId="0" applyFont="1" applyBorder="1" applyProtection="1"/>
    <xf numFmtId="0" fontId="5" fillId="0" borderId="3" xfId="0" applyFont="1" applyBorder="1" applyProtection="1"/>
    <xf numFmtId="0" fontId="5" fillId="0" borderId="0" xfId="0" applyFont="1" applyAlignment="1" applyProtection="1">
      <alignment horizontal="right"/>
    </xf>
    <xf numFmtId="0" fontId="5" fillId="0" borderId="0" xfId="0" applyFont="1" applyAlignment="1" applyProtection="1">
      <alignment horizontal="left"/>
    </xf>
    <xf numFmtId="0" fontId="0" fillId="0" borderId="46" xfId="0" applyBorder="1" applyProtection="1"/>
    <xf numFmtId="0" fontId="0" fillId="0" borderId="47" xfId="0" applyBorder="1" applyProtection="1"/>
    <xf numFmtId="0" fontId="0" fillId="0" borderId="0" xfId="0" applyFont="1" applyProtection="1"/>
    <xf numFmtId="2" fontId="0" fillId="0" borderId="46" xfId="0" applyNumberFormat="1" applyBorder="1" applyProtection="1"/>
    <xf numFmtId="2" fontId="0" fillId="0" borderId="47" xfId="0" applyNumberFormat="1" applyBorder="1" applyProtection="1"/>
    <xf numFmtId="0" fontId="5" fillId="0" borderId="32" xfId="0" applyFont="1" applyBorder="1" applyProtection="1"/>
    <xf numFmtId="0" fontId="5" fillId="0" borderId="51" xfId="0" applyFont="1" applyBorder="1" applyProtection="1"/>
    <xf numFmtId="2" fontId="0" fillId="0" borderId="48" xfId="0" applyNumberFormat="1" applyBorder="1" applyProtection="1"/>
    <xf numFmtId="164" fontId="0" fillId="0" borderId="48" xfId="0" applyNumberFormat="1" applyBorder="1" applyProtection="1"/>
    <xf numFmtId="0" fontId="0" fillId="0" borderId="49" xfId="0" applyBorder="1" applyProtection="1"/>
    <xf numFmtId="0" fontId="0" fillId="0" borderId="0" xfId="0" applyFont="1" applyFill="1" applyProtection="1"/>
    <xf numFmtId="9" fontId="5" fillId="0" borderId="0" xfId="0" applyNumberFormat="1" applyFont="1" applyAlignment="1" applyProtection="1">
      <alignment horizontal="left"/>
    </xf>
    <xf numFmtId="9" fontId="0" fillId="0" borderId="7" xfId="0" applyNumberFormat="1" applyFill="1" applyBorder="1" applyProtection="1"/>
    <xf numFmtId="0" fontId="0" fillId="0" borderId="51" xfId="0" applyBorder="1" applyProtection="1"/>
    <xf numFmtId="164" fontId="0" fillId="0" borderId="46" xfId="0" applyNumberFormat="1" applyBorder="1" applyProtection="1"/>
    <xf numFmtId="164" fontId="0" fillId="0" borderId="47" xfId="0" applyNumberFormat="1" applyBorder="1" applyProtection="1"/>
    <xf numFmtId="0" fontId="0" fillId="0" borderId="0" xfId="0" quotePrefix="1" applyProtection="1"/>
    <xf numFmtId="164" fontId="5" fillId="3" borderId="11" xfId="0" applyNumberFormat="1" applyFont="1" applyFill="1" applyBorder="1" applyProtection="1">
      <protection locked="0"/>
    </xf>
    <xf numFmtId="164" fontId="5" fillId="3" borderId="13" xfId="0" applyNumberFormat="1" applyFont="1" applyFill="1" applyBorder="1" applyProtection="1">
      <protection locked="0"/>
    </xf>
    <xf numFmtId="164" fontId="0" fillId="3" borderId="56" xfId="0" applyNumberFormat="1" applyFill="1" applyBorder="1" applyProtection="1">
      <protection locked="0"/>
    </xf>
    <xf numFmtId="164" fontId="0" fillId="3" borderId="38" xfId="0" applyNumberFormat="1" applyFill="1" applyBorder="1" applyProtection="1">
      <protection locked="0"/>
    </xf>
    <xf numFmtId="2" fontId="0" fillId="3" borderId="38" xfId="0" applyNumberFormat="1" applyFill="1" applyBorder="1" applyProtection="1">
      <protection locked="0"/>
    </xf>
    <xf numFmtId="164" fontId="0" fillId="3" borderId="59" xfId="0" applyNumberFormat="1" applyFill="1" applyBorder="1" applyProtection="1">
      <protection locked="0"/>
    </xf>
    <xf numFmtId="2" fontId="0" fillId="3" borderId="59" xfId="0" applyNumberFormat="1" applyFill="1" applyBorder="1" applyProtection="1">
      <protection locked="0"/>
    </xf>
    <xf numFmtId="164" fontId="0" fillId="3" borderId="44" xfId="0" applyNumberFormat="1" applyFill="1" applyBorder="1" applyProtection="1">
      <protection locked="0"/>
    </xf>
    <xf numFmtId="164" fontId="0" fillId="3" borderId="61" xfId="0" applyNumberFormat="1" applyFill="1" applyBorder="1" applyProtection="1">
      <protection locked="0"/>
    </xf>
    <xf numFmtId="164" fontId="0" fillId="3" borderId="40" xfId="0" applyNumberFormat="1" applyFill="1" applyBorder="1" applyProtection="1">
      <protection locked="0"/>
    </xf>
    <xf numFmtId="2" fontId="0" fillId="3" borderId="40" xfId="0" applyNumberFormat="1" applyFill="1" applyBorder="1" applyProtection="1">
      <protection locked="0"/>
    </xf>
    <xf numFmtId="164" fontId="0" fillId="3" borderId="60" xfId="0" applyNumberFormat="1" applyFill="1" applyBorder="1" applyProtection="1">
      <protection locked="0"/>
    </xf>
    <xf numFmtId="2" fontId="0" fillId="3" borderId="60" xfId="0" applyNumberFormat="1" applyFill="1" applyBorder="1" applyProtection="1">
      <protection locked="0"/>
    </xf>
    <xf numFmtId="164" fontId="0" fillId="3" borderId="45" xfId="0" applyNumberFormat="1" applyFill="1" applyBorder="1" applyProtection="1">
      <protection locked="0"/>
    </xf>
    <xf numFmtId="164" fontId="0" fillId="3" borderId="64" xfId="0" applyNumberFormat="1" applyFill="1" applyBorder="1" applyProtection="1">
      <protection locked="0"/>
    </xf>
    <xf numFmtId="164" fontId="0" fillId="3" borderId="68" xfId="0" applyNumberFormat="1" applyFill="1" applyBorder="1" applyProtection="1">
      <protection locked="0"/>
    </xf>
    <xf numFmtId="0" fontId="0" fillId="3" borderId="39" xfId="0" applyFill="1" applyBorder="1" applyProtection="1">
      <protection locked="0"/>
    </xf>
    <xf numFmtId="0" fontId="0" fillId="3" borderId="65" xfId="0" applyFill="1" applyBorder="1" applyProtection="1">
      <protection locked="0"/>
    </xf>
    <xf numFmtId="0" fontId="0" fillId="3" borderId="41" xfId="0" applyFill="1" applyBorder="1" applyProtection="1">
      <protection locked="0"/>
    </xf>
    <xf numFmtId="0" fontId="0" fillId="3" borderId="13" xfId="0" applyFill="1" applyBorder="1" applyProtection="1">
      <protection locked="0"/>
    </xf>
    <xf numFmtId="0" fontId="0" fillId="3" borderId="51" xfId="0" applyFill="1" applyBorder="1" applyProtection="1">
      <protection locked="0"/>
    </xf>
    <xf numFmtId="164" fontId="0" fillId="3" borderId="51" xfId="0" applyNumberFormat="1" applyFill="1" applyBorder="1" applyProtection="1">
      <protection locked="0"/>
    </xf>
    <xf numFmtId="0" fontId="0" fillId="3" borderId="52" xfId="0" applyFill="1" applyBorder="1" applyProtection="1">
      <protection locked="0"/>
    </xf>
    <xf numFmtId="0" fontId="0" fillId="3" borderId="32" xfId="0" applyFill="1" applyBorder="1" applyProtection="1">
      <protection locked="0"/>
    </xf>
    <xf numFmtId="0" fontId="0" fillId="3" borderId="13" xfId="0" applyFill="1" applyBorder="1" applyAlignment="1" applyProtection="1">
      <alignment wrapText="1"/>
      <protection locked="0"/>
    </xf>
    <xf numFmtId="0" fontId="0" fillId="3" borderId="52" xfId="0" applyFill="1" applyBorder="1" applyAlignment="1" applyProtection="1">
      <alignment wrapText="1"/>
      <protection locked="0"/>
    </xf>
    <xf numFmtId="0" fontId="0" fillId="3" borderId="0" xfId="0" applyFill="1" applyBorder="1" applyProtection="1">
      <protection locked="0"/>
    </xf>
    <xf numFmtId="164" fontId="0" fillId="3" borderId="13" xfId="0" applyNumberFormat="1" applyFill="1" applyBorder="1" applyProtection="1">
      <protection locked="0"/>
    </xf>
    <xf numFmtId="164" fontId="6" fillId="3" borderId="13" xfId="0" applyNumberFormat="1" applyFont="1" applyFill="1" applyBorder="1" applyProtection="1">
      <protection locked="0"/>
    </xf>
    <xf numFmtId="164" fontId="6" fillId="3" borderId="12" xfId="0" applyNumberFormat="1" applyFont="1" applyFill="1" applyBorder="1" applyProtection="1">
      <protection locked="0"/>
    </xf>
    <xf numFmtId="0" fontId="0" fillId="0" borderId="0" xfId="0" applyAlignment="1" applyProtection="1">
      <protection locked="0"/>
    </xf>
    <xf numFmtId="164" fontId="0" fillId="0" borderId="0" xfId="0" applyNumberFormat="1" applyAlignment="1" applyProtection="1">
      <protection locked="0"/>
    </xf>
    <xf numFmtId="164" fontId="5" fillId="0" borderId="0" xfId="0" applyNumberFormat="1" applyFont="1" applyAlignment="1" applyProtection="1">
      <protection locked="0"/>
    </xf>
    <xf numFmtId="2" fontId="0" fillId="0" borderId="0" xfId="0" applyNumberFormat="1" applyAlignment="1" applyProtection="1">
      <protection locked="0"/>
    </xf>
    <xf numFmtId="0" fontId="20" fillId="0" borderId="0" xfId="0" applyFont="1" applyAlignment="1" applyProtection="1">
      <protection locked="0"/>
    </xf>
    <xf numFmtId="0" fontId="19" fillId="0" borderId="0" xfId="0" applyFont="1" applyAlignment="1" applyProtection="1">
      <protection locked="0"/>
    </xf>
    <xf numFmtId="0" fontId="0" fillId="0" borderId="81" xfId="0" applyBorder="1" applyAlignment="1" applyProtection="1">
      <alignment horizontal="center" vertical="center" wrapText="1"/>
      <protection locked="0"/>
    </xf>
    <xf numFmtId="164" fontId="1" fillId="0" borderId="81" xfId="1" applyNumberFormat="1" applyFont="1" applyFill="1" applyBorder="1" applyAlignment="1" applyProtection="1">
      <protection locked="0"/>
    </xf>
    <xf numFmtId="164" fontId="1" fillId="0" borderId="82" xfId="1" applyNumberFormat="1" applyFont="1" applyFill="1" applyBorder="1" applyAlignment="1" applyProtection="1">
      <protection locked="0"/>
    </xf>
    <xf numFmtId="2" fontId="1" fillId="0" borderId="34" xfId="1" applyNumberFormat="1" applyFont="1" applyFill="1" applyBorder="1" applyAlignment="1" applyProtection="1">
      <alignment horizontal="right"/>
      <protection locked="0"/>
    </xf>
    <xf numFmtId="164" fontId="18" fillId="0" borderId="34" xfId="1" applyNumberFormat="1" applyFont="1" applyFill="1" applyBorder="1" applyAlignment="1" applyProtection="1">
      <protection locked="0"/>
    </xf>
    <xf numFmtId="164" fontId="1" fillId="0" borderId="34" xfId="1" applyNumberFormat="1" applyFont="1" applyFill="1" applyBorder="1" applyAlignment="1" applyProtection="1">
      <alignment horizontal="center"/>
      <protection locked="0"/>
    </xf>
    <xf numFmtId="164" fontId="1" fillId="0" borderId="16" xfId="1" applyNumberFormat="1" applyFont="1" applyFill="1" applyBorder="1" applyAlignment="1" applyProtection="1">
      <alignment horizontal="right"/>
      <protection locked="0"/>
    </xf>
    <xf numFmtId="1" fontId="1" fillId="0" borderId="17" xfId="1" applyNumberFormat="1" applyFont="1" applyFill="1" applyBorder="1" applyAlignment="1" applyProtection="1">
      <alignment horizontal="right"/>
      <protection locked="0"/>
    </xf>
    <xf numFmtId="164" fontId="21" fillId="0" borderId="29" xfId="1" applyNumberFormat="1" applyFont="1" applyFill="1" applyBorder="1" applyAlignment="1" applyProtection="1">
      <alignment horizontal="right"/>
      <protection locked="0"/>
    </xf>
    <xf numFmtId="2" fontId="1" fillId="0" borderId="15" xfId="1" applyNumberFormat="1" applyFont="1" applyFill="1" applyBorder="1" applyAlignment="1" applyProtection="1">
      <alignment horizontal="right"/>
      <protection locked="0"/>
    </xf>
    <xf numFmtId="2" fontId="1" fillId="0" borderId="16" xfId="1" applyNumberFormat="1" applyFont="1" applyFill="1" applyBorder="1" applyAlignment="1" applyProtection="1">
      <alignment horizontal="right"/>
      <protection locked="0"/>
    </xf>
    <xf numFmtId="2" fontId="1" fillId="0" borderId="17" xfId="1" applyNumberFormat="1" applyFont="1" applyFill="1" applyBorder="1" applyAlignment="1" applyProtection="1">
      <alignment horizontal="right"/>
      <protection locked="0"/>
    </xf>
    <xf numFmtId="2" fontId="19" fillId="0" borderId="15" xfId="0" applyNumberFormat="1" applyFont="1" applyBorder="1" applyAlignment="1" applyProtection="1">
      <protection locked="0"/>
    </xf>
    <xf numFmtId="2" fontId="0" fillId="0" borderId="16" xfId="0" applyNumberFormat="1" applyBorder="1" applyAlignment="1" applyProtection="1">
      <protection locked="0"/>
    </xf>
    <xf numFmtId="2" fontId="0" fillId="0" borderId="17" xfId="0" applyNumberFormat="1" applyBorder="1" applyAlignment="1" applyProtection="1">
      <protection locked="0"/>
    </xf>
    <xf numFmtId="0" fontId="0" fillId="0" borderId="84" xfId="0" applyBorder="1" applyAlignment="1" applyProtection="1">
      <alignment horizontal="center" vertical="center" wrapText="1"/>
      <protection locked="0"/>
    </xf>
    <xf numFmtId="164" fontId="1" fillId="0" borderId="84" xfId="1" applyNumberFormat="1" applyFont="1" applyFill="1" applyBorder="1" applyAlignment="1" applyProtection="1">
      <protection locked="0"/>
    </xf>
    <xf numFmtId="164" fontId="1" fillId="0" borderId="85" xfId="1" applyNumberFormat="1" applyFont="1" applyFill="1" applyBorder="1" applyAlignment="1" applyProtection="1">
      <protection locked="0"/>
    </xf>
    <xf numFmtId="164" fontId="1" fillId="0" borderId="35" xfId="1" applyNumberFormat="1" applyFont="1" applyFill="1" applyBorder="1" applyAlignment="1" applyProtection="1">
      <alignment horizontal="right"/>
      <protection locked="0"/>
    </xf>
    <xf numFmtId="164" fontId="18" fillId="0" borderId="35" xfId="1" applyNumberFormat="1" applyFont="1" applyFill="1" applyBorder="1" applyAlignment="1" applyProtection="1">
      <protection locked="0"/>
    </xf>
    <xf numFmtId="164" fontId="1" fillId="0" borderId="35" xfId="1" applyNumberFormat="1" applyFont="1" applyFill="1" applyBorder="1" applyAlignment="1" applyProtection="1">
      <alignment horizontal="center"/>
      <protection locked="0"/>
    </xf>
    <xf numFmtId="164" fontId="1" fillId="0" borderId="19" xfId="1" applyNumberFormat="1" applyFont="1" applyFill="1" applyBorder="1" applyAlignment="1" applyProtection="1">
      <alignment horizontal="right"/>
      <protection locked="0"/>
    </xf>
    <xf numFmtId="1" fontId="1" fillId="0" borderId="20" xfId="1" applyNumberFormat="1" applyFont="1" applyFill="1" applyBorder="1" applyAlignment="1" applyProtection="1">
      <alignment horizontal="right"/>
      <protection locked="0"/>
    </xf>
    <xf numFmtId="164" fontId="21" fillId="0" borderId="30" xfId="1" applyNumberFormat="1" applyFont="1" applyFill="1" applyBorder="1" applyAlignment="1" applyProtection="1">
      <alignment horizontal="right"/>
      <protection locked="0"/>
    </xf>
    <xf numFmtId="2" fontId="1" fillId="0" borderId="18" xfId="1" applyNumberFormat="1" applyFont="1" applyFill="1" applyBorder="1" applyAlignment="1" applyProtection="1">
      <alignment horizontal="right"/>
      <protection locked="0"/>
    </xf>
    <xf numFmtId="2" fontId="1" fillId="0" borderId="19" xfId="1" applyNumberFormat="1" applyFont="1" applyFill="1" applyBorder="1" applyAlignment="1" applyProtection="1">
      <alignment horizontal="right"/>
      <protection locked="0"/>
    </xf>
    <xf numFmtId="2" fontId="1" fillId="0" borderId="20" xfId="1" applyNumberFormat="1" applyFont="1" applyFill="1" applyBorder="1" applyAlignment="1" applyProtection="1">
      <alignment horizontal="right"/>
      <protection locked="0"/>
    </xf>
    <xf numFmtId="2" fontId="19" fillId="0" borderId="18" xfId="0" applyNumberFormat="1" applyFont="1" applyBorder="1" applyAlignment="1" applyProtection="1">
      <protection locked="0"/>
    </xf>
    <xf numFmtId="2" fontId="0" fillId="0" borderId="19" xfId="0" applyNumberFormat="1" applyBorder="1" applyAlignment="1" applyProtection="1">
      <protection locked="0"/>
    </xf>
    <xf numFmtId="2" fontId="0" fillId="0" borderId="20" xfId="0" applyNumberFormat="1" applyBorder="1" applyAlignment="1" applyProtection="1">
      <protection locked="0"/>
    </xf>
    <xf numFmtId="164" fontId="1" fillId="0" borderId="84" xfId="2" applyNumberFormat="1" applyFont="1" applyFill="1" applyBorder="1" applyAlignment="1" applyProtection="1">
      <protection locked="0"/>
    </xf>
    <xf numFmtId="164" fontId="0" fillId="0" borderId="35" xfId="0" applyNumberFormat="1" applyBorder="1" applyAlignment="1" applyProtection="1">
      <protection locked="0"/>
    </xf>
    <xf numFmtId="164" fontId="18" fillId="0" borderId="35" xfId="3" applyNumberFormat="1" applyFont="1" applyFill="1" applyBorder="1" applyAlignment="1" applyProtection="1">
      <alignment wrapText="1"/>
      <protection locked="0"/>
    </xf>
    <xf numFmtId="164" fontId="1" fillId="0" borderId="35" xfId="3" applyNumberFormat="1" applyFont="1" applyFill="1" applyBorder="1" applyAlignment="1" applyProtection="1">
      <alignment horizontal="center" wrapText="1"/>
      <protection locked="0"/>
    </xf>
    <xf numFmtId="164" fontId="0" fillId="0" borderId="19" xfId="0" applyNumberFormat="1" applyBorder="1" applyAlignment="1" applyProtection="1">
      <protection locked="0"/>
    </xf>
    <xf numFmtId="1" fontId="0" fillId="0" borderId="20" xfId="0" applyNumberFormat="1" applyBorder="1" applyAlignment="1" applyProtection="1">
      <protection locked="0"/>
    </xf>
    <xf numFmtId="164" fontId="21" fillId="0" borderId="30" xfId="2" applyNumberFormat="1" applyFont="1" applyFill="1" applyBorder="1" applyAlignment="1" applyProtection="1">
      <alignment horizontal="right"/>
      <protection locked="0"/>
    </xf>
    <xf numFmtId="164" fontId="0" fillId="0" borderId="18" xfId="0" applyNumberFormat="1" applyBorder="1" applyAlignment="1" applyProtection="1">
      <protection locked="0"/>
    </xf>
    <xf numFmtId="164" fontId="0" fillId="0" borderId="20" xfId="0" applyNumberFormat="1" applyBorder="1" applyAlignment="1" applyProtection="1">
      <protection locked="0"/>
    </xf>
    <xf numFmtId="164" fontId="5" fillId="0" borderId="35" xfId="0" applyNumberFormat="1" applyFont="1" applyBorder="1" applyAlignment="1" applyProtection="1">
      <protection locked="0"/>
    </xf>
    <xf numFmtId="164" fontId="0" fillId="0" borderId="35" xfId="0" applyNumberFormat="1" applyBorder="1" applyAlignment="1" applyProtection="1">
      <alignment horizontal="center"/>
      <protection locked="0"/>
    </xf>
    <xf numFmtId="164" fontId="20" fillId="0" borderId="30" xfId="0" applyNumberFormat="1" applyFont="1" applyBorder="1" applyAlignment="1" applyProtection="1">
      <protection locked="0"/>
    </xf>
    <xf numFmtId="164" fontId="5" fillId="0" borderId="70" xfId="0" applyNumberFormat="1" applyFont="1" applyBorder="1" applyAlignment="1" applyProtection="1">
      <protection locked="0"/>
    </xf>
    <xf numFmtId="164" fontId="0" fillId="0" borderId="0" xfId="0" applyNumberFormat="1" applyBorder="1" applyAlignment="1" applyProtection="1">
      <alignment horizontal="center" vertical="center"/>
      <protection locked="0"/>
    </xf>
    <xf numFmtId="0" fontId="5" fillId="0" borderId="35" xfId="0" applyFont="1" applyBorder="1" applyAlignment="1" applyProtection="1">
      <protection locked="0"/>
    </xf>
    <xf numFmtId="0" fontId="0" fillId="0" borderId="35" xfId="0" applyBorder="1" applyAlignment="1" applyProtection="1">
      <alignment horizontal="center" vertical="center"/>
      <protection locked="0"/>
    </xf>
    <xf numFmtId="2" fontId="19" fillId="0" borderId="18" xfId="0" applyNumberFormat="1" applyFont="1" applyFill="1" applyBorder="1" applyAlignment="1" applyProtection="1">
      <protection locked="0"/>
    </xf>
    <xf numFmtId="164" fontId="19" fillId="0" borderId="35" xfId="0" applyNumberFormat="1" applyFont="1" applyBorder="1" applyAlignment="1" applyProtection="1">
      <protection locked="0"/>
    </xf>
    <xf numFmtId="164" fontId="20" fillId="0" borderId="35" xfId="0" applyNumberFormat="1" applyFont="1" applyBorder="1" applyAlignment="1" applyProtection="1">
      <protection locked="0"/>
    </xf>
    <xf numFmtId="164" fontId="0" fillId="0" borderId="73" xfId="0" applyNumberFormat="1" applyBorder="1" applyAlignment="1" applyProtection="1">
      <protection locked="0"/>
    </xf>
    <xf numFmtId="1" fontId="0" fillId="0" borderId="71" xfId="0" applyNumberFormat="1" applyBorder="1" applyAlignment="1" applyProtection="1">
      <protection locked="0"/>
    </xf>
    <xf numFmtId="164" fontId="21" fillId="0" borderId="74" xfId="2" applyNumberFormat="1" applyFont="1" applyFill="1" applyBorder="1" applyAlignment="1" applyProtection="1">
      <alignment horizontal="right"/>
      <protection locked="0"/>
    </xf>
    <xf numFmtId="164" fontId="0" fillId="0" borderId="72" xfId="0" applyNumberFormat="1" applyBorder="1" applyAlignment="1" applyProtection="1">
      <protection locked="0"/>
    </xf>
    <xf numFmtId="164" fontId="0" fillId="0" borderId="71" xfId="0" applyNumberFormat="1" applyBorder="1" applyAlignment="1" applyProtection="1">
      <protection locked="0"/>
    </xf>
    <xf numFmtId="2" fontId="19" fillId="0" borderId="72" xfId="0" applyNumberFormat="1" applyFont="1" applyBorder="1" applyAlignment="1" applyProtection="1">
      <protection locked="0"/>
    </xf>
    <xf numFmtId="2" fontId="0" fillId="0" borderId="73" xfId="0" applyNumberFormat="1" applyBorder="1" applyAlignment="1" applyProtection="1">
      <protection locked="0"/>
    </xf>
    <xf numFmtId="2" fontId="0" fillId="0" borderId="71" xfId="0" applyNumberFormat="1" applyBorder="1" applyAlignment="1" applyProtection="1">
      <protection locked="0"/>
    </xf>
    <xf numFmtId="164" fontId="3" fillId="0" borderId="84" xfId="2" applyNumberFormat="1" applyFont="1" applyFill="1" applyBorder="1" applyAlignment="1" applyProtection="1">
      <protection locked="0"/>
    </xf>
    <xf numFmtId="164" fontId="0" fillId="0" borderId="35" xfId="0" applyNumberFormat="1" applyBorder="1" applyAlignment="1" applyProtection="1">
      <alignment horizontal="center" vertical="center"/>
      <protection locked="0"/>
    </xf>
    <xf numFmtId="0" fontId="0" fillId="0" borderId="84" xfId="0" applyBorder="1" applyAlignment="1" applyProtection="1">
      <protection locked="0"/>
    </xf>
    <xf numFmtId="0" fontId="5" fillId="0" borderId="19" xfId="0" applyFont="1" applyBorder="1" applyAlignment="1" applyProtection="1">
      <protection locked="0"/>
    </xf>
    <xf numFmtId="0" fontId="0" fillId="0" borderId="19" xfId="0" applyBorder="1" applyAlignment="1" applyProtection="1">
      <alignment horizontal="center"/>
      <protection locked="0"/>
    </xf>
    <xf numFmtId="0" fontId="0" fillId="0" borderId="19" xfId="0" applyBorder="1" applyAlignment="1" applyProtection="1">
      <protection locked="0"/>
    </xf>
    <xf numFmtId="0" fontId="0" fillId="0" borderId="20" xfId="0" applyBorder="1" applyAlignment="1" applyProtection="1">
      <protection locked="0"/>
    </xf>
    <xf numFmtId="0" fontId="20" fillId="0" borderId="30" xfId="0" applyFont="1" applyBorder="1" applyAlignment="1" applyProtection="1">
      <protection locked="0"/>
    </xf>
    <xf numFmtId="0" fontId="0" fillId="0" borderId="18" xfId="0" applyBorder="1" applyAlignment="1" applyProtection="1">
      <protection locked="0"/>
    </xf>
    <xf numFmtId="0" fontId="0" fillId="0" borderId="87" xfId="0" applyBorder="1" applyAlignment="1" applyProtection="1">
      <alignment horizontal="center" vertical="center" wrapText="1"/>
      <protection locked="0"/>
    </xf>
    <xf numFmtId="164" fontId="3" fillId="0" borderId="87" xfId="2" applyNumberFormat="1" applyFont="1" applyFill="1" applyBorder="1" applyAlignment="1" applyProtection="1">
      <protection locked="0"/>
    </xf>
    <xf numFmtId="164" fontId="1" fillId="0" borderId="88" xfId="1" applyNumberFormat="1" applyFont="1" applyFill="1" applyBorder="1" applyAlignment="1" applyProtection="1">
      <protection locked="0"/>
    </xf>
    <xf numFmtId="164" fontId="5" fillId="0" borderId="22" xfId="0" applyNumberFormat="1" applyFont="1" applyBorder="1" applyAlignment="1" applyProtection="1">
      <protection locked="0"/>
    </xf>
    <xf numFmtId="164" fontId="0" fillId="0" borderId="22" xfId="0" applyNumberFormat="1" applyBorder="1" applyAlignment="1" applyProtection="1">
      <alignment horizontal="center"/>
      <protection locked="0"/>
    </xf>
    <xf numFmtId="164" fontId="0" fillId="0" borderId="22" xfId="0" applyNumberFormat="1" applyBorder="1" applyAlignment="1" applyProtection="1">
      <protection locked="0"/>
    </xf>
    <xf numFmtId="1" fontId="0" fillId="0" borderId="23" xfId="0" applyNumberFormat="1" applyBorder="1" applyAlignment="1" applyProtection="1">
      <protection locked="0"/>
    </xf>
    <xf numFmtId="164" fontId="20" fillId="0" borderId="31" xfId="0" applyNumberFormat="1" applyFont="1" applyBorder="1" applyAlignment="1" applyProtection="1">
      <protection locked="0"/>
    </xf>
    <xf numFmtId="164" fontId="0" fillId="0" borderId="21" xfId="0" applyNumberFormat="1" applyBorder="1" applyAlignment="1" applyProtection="1">
      <protection locked="0"/>
    </xf>
    <xf numFmtId="164" fontId="0" fillId="0" borderId="23" xfId="0" applyNumberFormat="1" applyBorder="1" applyAlignment="1" applyProtection="1">
      <protection locked="0"/>
    </xf>
    <xf numFmtId="2" fontId="19" fillId="0" borderId="21" xfId="0" applyNumberFormat="1" applyFont="1" applyBorder="1" applyAlignment="1" applyProtection="1">
      <protection locked="0"/>
    </xf>
    <xf numFmtId="2" fontId="0" fillId="0" borderId="22" xfId="0" applyNumberFormat="1" applyBorder="1" applyAlignment="1" applyProtection="1">
      <protection locked="0"/>
    </xf>
    <xf numFmtId="2" fontId="0" fillId="0" borderId="23" xfId="0" applyNumberFormat="1" applyBorder="1" applyAlignment="1" applyProtection="1">
      <protection locked="0"/>
    </xf>
    <xf numFmtId="0" fontId="0" fillId="0" borderId="12" xfId="0" applyBorder="1" applyAlignment="1" applyProtection="1">
      <alignment horizontal="center" vertical="center" wrapText="1"/>
      <protection locked="0"/>
    </xf>
    <xf numFmtId="0" fontId="0" fillId="0" borderId="81" xfId="0" applyFill="1" applyBorder="1" applyAlignment="1" applyProtection="1">
      <alignment horizontal="center" vertical="center" wrapText="1"/>
      <protection locked="0"/>
    </xf>
    <xf numFmtId="164" fontId="1" fillId="0" borderId="81" xfId="2" applyNumberFormat="1" applyFont="1" applyFill="1" applyBorder="1" applyAlignment="1" applyProtection="1">
      <protection locked="0"/>
    </xf>
    <xf numFmtId="164" fontId="0" fillId="0" borderId="34" xfId="0" applyNumberFormat="1" applyBorder="1" applyAlignment="1" applyProtection="1">
      <protection locked="0"/>
    </xf>
    <xf numFmtId="164" fontId="5" fillId="0" borderId="16" xfId="0" applyNumberFormat="1" applyFont="1" applyBorder="1" applyAlignment="1" applyProtection="1">
      <protection locked="0"/>
    </xf>
    <xf numFmtId="164" fontId="0" fillId="0" borderId="16" xfId="0" applyNumberFormat="1" applyBorder="1" applyAlignment="1" applyProtection="1">
      <alignment horizontal="center"/>
      <protection locked="0"/>
    </xf>
    <xf numFmtId="164" fontId="0" fillId="0" borderId="16" xfId="0" applyNumberFormat="1" applyBorder="1" applyAlignment="1" applyProtection="1">
      <protection locked="0"/>
    </xf>
    <xf numFmtId="1" fontId="0" fillId="0" borderId="17" xfId="0" applyNumberFormat="1" applyBorder="1" applyAlignment="1" applyProtection="1">
      <protection locked="0"/>
    </xf>
    <xf numFmtId="164" fontId="20" fillId="0" borderId="29" xfId="0" applyNumberFormat="1" applyFont="1" applyBorder="1" applyAlignment="1" applyProtection="1">
      <protection locked="0"/>
    </xf>
    <xf numFmtId="2" fontId="0" fillId="0" borderId="34" xfId="0" applyNumberFormat="1" applyBorder="1" applyAlignment="1" applyProtection="1">
      <protection locked="0"/>
    </xf>
    <xf numFmtId="164" fontId="0" fillId="0" borderId="25" xfId="0" applyNumberFormat="1" applyBorder="1" applyAlignment="1" applyProtection="1">
      <protection locked="0"/>
    </xf>
    <xf numFmtId="0" fontId="0" fillId="0" borderId="84" xfId="0" applyFill="1" applyBorder="1" applyAlignment="1" applyProtection="1">
      <alignment horizontal="center" vertical="center" wrapText="1"/>
      <protection locked="0"/>
    </xf>
    <xf numFmtId="164" fontId="5" fillId="0" borderId="19" xfId="0" applyNumberFormat="1" applyFont="1" applyBorder="1" applyAlignment="1" applyProtection="1">
      <protection locked="0"/>
    </xf>
    <xf numFmtId="164" fontId="0" fillId="0" borderId="19" xfId="0" applyNumberFormat="1" applyBorder="1" applyAlignment="1" applyProtection="1">
      <alignment horizontal="center"/>
      <protection locked="0"/>
    </xf>
    <xf numFmtId="2" fontId="0" fillId="0" borderId="35" xfId="0" applyNumberFormat="1" applyBorder="1" applyAlignment="1" applyProtection="1">
      <protection locked="0"/>
    </xf>
    <xf numFmtId="164" fontId="0" fillId="0" borderId="26" xfId="0" applyNumberFormat="1" applyBorder="1" applyAlignment="1" applyProtection="1">
      <protection locked="0"/>
    </xf>
    <xf numFmtId="0" fontId="0" fillId="0" borderId="13" xfId="0" applyBorder="1" applyAlignment="1" applyProtection="1">
      <alignment horizontal="center" vertical="center" wrapText="1"/>
      <protection locked="0"/>
    </xf>
    <xf numFmtId="0" fontId="0" fillId="0" borderId="87" xfId="0" applyFill="1" applyBorder="1" applyAlignment="1" applyProtection="1">
      <alignment horizontal="center" vertical="center" wrapText="1"/>
      <protection locked="0"/>
    </xf>
    <xf numFmtId="164" fontId="1" fillId="0" borderId="87" xfId="2" applyNumberFormat="1" applyFont="1" applyFill="1" applyBorder="1" applyAlignment="1" applyProtection="1">
      <protection locked="0"/>
    </xf>
    <xf numFmtId="164" fontId="0" fillId="0" borderId="36" xfId="0" applyNumberFormat="1" applyBorder="1" applyAlignment="1" applyProtection="1">
      <protection locked="0"/>
    </xf>
    <xf numFmtId="2" fontId="0" fillId="0" borderId="36" xfId="0" applyNumberFormat="1" applyBorder="1" applyAlignment="1" applyProtection="1">
      <protection locked="0"/>
    </xf>
    <xf numFmtId="164" fontId="0" fillId="0" borderId="27" xfId="0" applyNumberFormat="1" applyBorder="1" applyAlignment="1" applyProtection="1">
      <protection locked="0"/>
    </xf>
    <xf numFmtId="0" fontId="0" fillId="0" borderId="89" xfId="0" applyFill="1" applyBorder="1" applyAlignment="1" applyProtection="1">
      <alignment horizontal="center" vertical="center" wrapText="1"/>
      <protection locked="0"/>
    </xf>
    <xf numFmtId="164" fontId="1" fillId="0" borderId="89" xfId="2" applyNumberFormat="1" applyFont="1" applyFill="1" applyBorder="1" applyAlignment="1" applyProtection="1">
      <protection locked="0"/>
    </xf>
    <xf numFmtId="164" fontId="1" fillId="0" borderId="90" xfId="1" applyNumberFormat="1" applyFont="1" applyFill="1" applyBorder="1" applyAlignment="1" applyProtection="1">
      <protection locked="0"/>
    </xf>
    <xf numFmtId="164" fontId="19" fillId="0" borderId="53" xfId="0" applyNumberFormat="1" applyFont="1" applyFill="1" applyBorder="1" applyAlignment="1" applyProtection="1">
      <protection locked="0"/>
    </xf>
    <xf numFmtId="0" fontId="20" fillId="0" borderId="76" xfId="0" applyFont="1" applyBorder="1" applyAlignment="1" applyProtection="1">
      <protection locked="0"/>
    </xf>
    <xf numFmtId="0" fontId="19" fillId="0" borderId="76" xfId="0" applyFont="1" applyBorder="1" applyAlignment="1" applyProtection="1">
      <protection locked="0"/>
    </xf>
    <xf numFmtId="0" fontId="19" fillId="0" borderId="77" xfId="0" applyFont="1" applyBorder="1" applyAlignment="1" applyProtection="1">
      <protection locked="0"/>
    </xf>
    <xf numFmtId="164" fontId="20" fillId="0" borderId="32" xfId="0" applyNumberFormat="1" applyFont="1" applyBorder="1" applyAlignment="1" applyProtection="1">
      <protection locked="0"/>
    </xf>
    <xf numFmtId="2" fontId="19" fillId="0" borderId="53" xfId="0" applyNumberFormat="1" applyFont="1" applyBorder="1" applyAlignment="1" applyProtection="1">
      <protection locked="0"/>
    </xf>
    <xf numFmtId="2" fontId="19" fillId="0" borderId="76" xfId="0" applyNumberFormat="1" applyFont="1" applyFill="1" applyBorder="1" applyAlignment="1" applyProtection="1">
      <protection locked="0"/>
    </xf>
    <xf numFmtId="0" fontId="19" fillId="0" borderId="75" xfId="0" applyFont="1" applyBorder="1" applyAlignment="1" applyProtection="1">
      <protection locked="0"/>
    </xf>
    <xf numFmtId="2" fontId="19" fillId="0" borderId="33" xfId="0" applyNumberFormat="1" applyFont="1" applyBorder="1" applyAlignment="1" applyProtection="1">
      <protection locked="0"/>
    </xf>
    <xf numFmtId="2" fontId="19" fillId="0" borderId="76" xfId="0" applyNumberFormat="1" applyFont="1" applyBorder="1" applyAlignment="1" applyProtection="1">
      <protection locked="0"/>
    </xf>
    <xf numFmtId="164" fontId="3" fillId="0" borderId="81" xfId="2" applyNumberFormat="1" applyFont="1" applyFill="1" applyBorder="1" applyAlignment="1" applyProtection="1">
      <protection locked="0"/>
    </xf>
    <xf numFmtId="0" fontId="0" fillId="0" borderId="34" xfId="0" applyBorder="1" applyAlignment="1" applyProtection="1">
      <protection locked="0"/>
    </xf>
    <xf numFmtId="0" fontId="5" fillId="0" borderId="34" xfId="0" applyFont="1" applyBorder="1" applyAlignment="1" applyProtection="1">
      <protection locked="0"/>
    </xf>
    <xf numFmtId="0" fontId="0" fillId="0" borderId="16" xfId="0" applyBorder="1" applyAlignment="1" applyProtection="1">
      <protection locked="0"/>
    </xf>
    <xf numFmtId="0" fontId="0" fillId="0" borderId="25" xfId="0" applyBorder="1" applyAlignment="1" applyProtection="1">
      <protection locked="0"/>
    </xf>
    <xf numFmtId="164" fontId="8" fillId="0" borderId="29" xfId="0" applyNumberFormat="1" applyFont="1" applyFill="1" applyBorder="1" applyAlignment="1" applyProtection="1">
      <protection locked="0"/>
    </xf>
    <xf numFmtId="164" fontId="6" fillId="0" borderId="15" xfId="0" applyNumberFormat="1" applyFont="1" applyBorder="1" applyAlignment="1" applyProtection="1">
      <protection locked="0"/>
    </xf>
    <xf numFmtId="164" fontId="6" fillId="0" borderId="16" xfId="0" applyNumberFormat="1" applyFont="1" applyBorder="1" applyAlignment="1" applyProtection="1">
      <protection locked="0"/>
    </xf>
    <xf numFmtId="164" fontId="6" fillId="0" borderId="17" xfId="0" applyNumberFormat="1" applyFont="1" applyBorder="1" applyAlignment="1" applyProtection="1">
      <protection locked="0"/>
    </xf>
    <xf numFmtId="2" fontId="6" fillId="0" borderId="15" xfId="0" applyNumberFormat="1" applyFont="1" applyBorder="1" applyAlignment="1" applyProtection="1">
      <protection locked="0"/>
    </xf>
    <xf numFmtId="0" fontId="0" fillId="0" borderId="35" xfId="0" applyBorder="1" applyAlignment="1" applyProtection="1">
      <protection locked="0"/>
    </xf>
    <xf numFmtId="0" fontId="0" fillId="0" borderId="26" xfId="0" applyBorder="1" applyAlignment="1" applyProtection="1">
      <protection locked="0"/>
    </xf>
    <xf numFmtId="164" fontId="23" fillId="0" borderId="30" xfId="2" applyNumberFormat="1" applyFont="1" applyFill="1" applyBorder="1" applyAlignment="1" applyProtection="1">
      <alignment horizontal="right"/>
      <protection locked="0"/>
    </xf>
    <xf numFmtId="164" fontId="6" fillId="0" borderId="18" xfId="0" applyNumberFormat="1" applyFont="1" applyBorder="1" applyAlignment="1" applyProtection="1">
      <protection locked="0"/>
    </xf>
    <xf numFmtId="164" fontId="6" fillId="0" borderId="19" xfId="0" applyNumberFormat="1" applyFont="1" applyBorder="1" applyAlignment="1" applyProtection="1">
      <protection locked="0"/>
    </xf>
    <xf numFmtId="164" fontId="6" fillId="0" borderId="20" xfId="0" applyNumberFormat="1" applyFont="1" applyBorder="1" applyAlignment="1" applyProtection="1">
      <protection locked="0"/>
    </xf>
    <xf numFmtId="2" fontId="6" fillId="0" borderId="18" xfId="0" applyNumberFormat="1" applyFont="1" applyBorder="1" applyAlignment="1" applyProtection="1">
      <protection locked="0"/>
    </xf>
    <xf numFmtId="164" fontId="8" fillId="0" borderId="30" xfId="0" applyNumberFormat="1" applyFont="1" applyBorder="1" applyAlignment="1" applyProtection="1">
      <protection locked="0"/>
    </xf>
    <xf numFmtId="164" fontId="8" fillId="0" borderId="30" xfId="0" applyNumberFormat="1" applyFont="1" applyFill="1" applyBorder="1" applyAlignment="1" applyProtection="1">
      <protection locked="0"/>
    </xf>
    <xf numFmtId="164" fontId="5" fillId="0" borderId="36" xfId="0" applyNumberFormat="1" applyFont="1" applyBorder="1" applyAlignment="1" applyProtection="1">
      <protection locked="0"/>
    </xf>
    <xf numFmtId="0" fontId="0" fillId="0" borderId="27" xfId="0" applyBorder="1" applyAlignment="1" applyProtection="1">
      <protection locked="0"/>
    </xf>
    <xf numFmtId="164" fontId="8" fillId="0" borderId="31" xfId="0" applyNumberFormat="1" applyFont="1" applyFill="1" applyBorder="1" applyAlignment="1" applyProtection="1">
      <protection locked="0"/>
    </xf>
    <xf numFmtId="164" fontId="6" fillId="0" borderId="21" xfId="0" applyNumberFormat="1" applyFont="1" applyBorder="1" applyAlignment="1" applyProtection="1">
      <protection locked="0"/>
    </xf>
    <xf numFmtId="164" fontId="6" fillId="0" borderId="22" xfId="0" applyNumberFormat="1" applyFont="1" applyBorder="1" applyAlignment="1" applyProtection="1">
      <protection locked="0"/>
    </xf>
    <xf numFmtId="164" fontId="6" fillId="0" borderId="23" xfId="0" applyNumberFormat="1" applyFont="1" applyBorder="1" applyAlignment="1" applyProtection="1">
      <protection locked="0"/>
    </xf>
    <xf numFmtId="2" fontId="6" fillId="0" borderId="21" xfId="0" applyNumberFormat="1" applyFont="1" applyBorder="1" applyAlignment="1" applyProtection="1">
      <protection locked="0"/>
    </xf>
    <xf numFmtId="0" fontId="0" fillId="0" borderId="81" xfId="0" applyBorder="1" applyAlignment="1" applyProtection="1">
      <protection locked="0"/>
    </xf>
    <xf numFmtId="164" fontId="8" fillId="0" borderId="29" xfId="0" applyNumberFormat="1" applyFont="1" applyBorder="1" applyAlignment="1" applyProtection="1">
      <protection locked="0"/>
    </xf>
    <xf numFmtId="0" fontId="6" fillId="0" borderId="34" xfId="0" applyFont="1" applyBorder="1" applyAlignment="1" applyProtection="1">
      <protection locked="0"/>
    </xf>
    <xf numFmtId="0" fontId="6" fillId="0" borderId="25" xfId="0" applyFont="1" applyBorder="1" applyAlignment="1" applyProtection="1">
      <protection locked="0"/>
    </xf>
    <xf numFmtId="0" fontId="6" fillId="0" borderId="17" xfId="0" applyFont="1" applyBorder="1" applyAlignment="1" applyProtection="1">
      <protection locked="0"/>
    </xf>
    <xf numFmtId="0" fontId="6" fillId="0" borderId="15" xfId="0" applyFont="1" applyBorder="1" applyAlignment="1" applyProtection="1">
      <protection locked="0"/>
    </xf>
    <xf numFmtId="0" fontId="0" fillId="0" borderId="17" xfId="0" applyBorder="1" applyAlignment="1" applyProtection="1">
      <protection locked="0"/>
    </xf>
    <xf numFmtId="0" fontId="6" fillId="0" borderId="35" xfId="0" applyFont="1" applyBorder="1" applyAlignment="1" applyProtection="1">
      <protection locked="0"/>
    </xf>
    <xf numFmtId="0" fontId="6" fillId="0" borderId="26" xfId="0" applyFont="1" applyBorder="1" applyAlignment="1" applyProtection="1">
      <protection locked="0"/>
    </xf>
    <xf numFmtId="0" fontId="6" fillId="0" borderId="20" xfId="0" applyFont="1" applyBorder="1" applyAlignment="1" applyProtection="1">
      <protection locked="0"/>
    </xf>
    <xf numFmtId="0" fontId="6" fillId="0" borderId="18" xfId="0" applyFont="1" applyBorder="1" applyAlignment="1" applyProtection="1">
      <protection locked="0"/>
    </xf>
    <xf numFmtId="2" fontId="0" fillId="0" borderId="84" xfId="0" applyNumberFormat="1" applyBorder="1" applyAlignment="1" applyProtection="1">
      <protection locked="0"/>
    </xf>
    <xf numFmtId="2" fontId="6" fillId="0" borderId="35" xfId="0" applyNumberFormat="1" applyFont="1" applyBorder="1" applyAlignment="1" applyProtection="1">
      <protection locked="0"/>
    </xf>
    <xf numFmtId="2" fontId="0" fillId="0" borderId="87" xfId="0" applyNumberFormat="1" applyBorder="1" applyAlignment="1" applyProtection="1">
      <protection locked="0"/>
    </xf>
    <xf numFmtId="164" fontId="8" fillId="0" borderId="31" xfId="0" applyNumberFormat="1" applyFont="1" applyBorder="1" applyAlignment="1" applyProtection="1">
      <protection locked="0"/>
    </xf>
    <xf numFmtId="2" fontId="6" fillId="0" borderId="36" xfId="0" applyNumberFormat="1" applyFont="1" applyBorder="1" applyAlignment="1" applyProtection="1">
      <protection locked="0"/>
    </xf>
    <xf numFmtId="0" fontId="6" fillId="0" borderId="27" xfId="0" applyFont="1" applyBorder="1" applyAlignment="1" applyProtection="1">
      <protection locked="0"/>
    </xf>
    <xf numFmtId="0" fontId="5" fillId="0" borderId="0" xfId="0" applyFont="1" applyAlignment="1" applyProtection="1">
      <protection locked="0"/>
    </xf>
    <xf numFmtId="0" fontId="0" fillId="0" borderId="0" xfId="0" applyAlignment="1" applyProtection="1"/>
    <xf numFmtId="164" fontId="0" fillId="0" borderId="0" xfId="0" applyNumberFormat="1" applyAlignment="1" applyProtection="1"/>
    <xf numFmtId="164" fontId="5" fillId="0" borderId="0" xfId="0" applyNumberFormat="1" applyFont="1" applyAlignment="1" applyProtection="1"/>
    <xf numFmtId="2" fontId="0" fillId="0" borderId="0" xfId="0" applyNumberFormat="1" applyAlignment="1" applyProtection="1"/>
    <xf numFmtId="0" fontId="20" fillId="0" borderId="0" xfId="0" applyFont="1" applyAlignment="1" applyProtection="1"/>
    <xf numFmtId="0" fontId="19" fillId="0" borderId="0" xfId="0" applyFont="1" applyAlignment="1" applyProtection="1"/>
    <xf numFmtId="0" fontId="3" fillId="2" borderId="5" xfId="1" applyFont="1" applyFill="1" applyBorder="1" applyAlignment="1" applyProtection="1">
      <alignment horizontal="center"/>
    </xf>
    <xf numFmtId="0" fontId="1" fillId="2" borderId="14" xfId="1" applyFont="1" applyFill="1" applyBorder="1" applyAlignment="1" applyProtection="1">
      <alignment horizontal="center"/>
    </xf>
    <xf numFmtId="0" fontId="3" fillId="2" borderId="14" xfId="1" applyFont="1" applyFill="1" applyBorder="1" applyAlignment="1" applyProtection="1">
      <alignment horizontal="center"/>
    </xf>
    <xf numFmtId="0" fontId="1" fillId="2" borderId="1" xfId="1" applyFont="1" applyFill="1" applyBorder="1" applyAlignment="1" applyProtection="1">
      <alignment horizontal="center"/>
    </xf>
    <xf numFmtId="164" fontId="3" fillId="2" borderId="11" xfId="1" applyNumberFormat="1" applyFont="1" applyFill="1" applyBorder="1" applyAlignment="1" applyProtection="1">
      <alignment horizontal="center"/>
    </xf>
    <xf numFmtId="164" fontId="18" fillId="2" borderId="1" xfId="1" applyNumberFormat="1" applyFont="1" applyFill="1" applyBorder="1" applyAlignment="1" applyProtection="1">
      <alignment horizontal="center"/>
    </xf>
    <xf numFmtId="164" fontId="1" fillId="2" borderId="37" xfId="1" applyNumberFormat="1" applyFont="1" applyFill="1" applyBorder="1" applyAlignment="1" applyProtection="1">
      <alignment horizontal="center"/>
    </xf>
    <xf numFmtId="2" fontId="1" fillId="2" borderId="37" xfId="1" applyNumberFormat="1" applyFont="1" applyFill="1" applyBorder="1" applyAlignment="1" applyProtection="1">
      <alignment horizontal="center"/>
    </xf>
    <xf numFmtId="0" fontId="1" fillId="2" borderId="24" xfId="1" applyFont="1" applyFill="1" applyBorder="1" applyAlignment="1" applyProtection="1">
      <alignment horizontal="center"/>
    </xf>
    <xf numFmtId="0" fontId="21" fillId="2" borderId="28" xfId="1" applyFont="1" applyFill="1" applyBorder="1" applyAlignment="1" applyProtection="1">
      <alignment horizontal="center"/>
    </xf>
    <xf numFmtId="0" fontId="3" fillId="2" borderId="9" xfId="1" applyFont="1" applyFill="1" applyBorder="1" applyAlignment="1" applyProtection="1">
      <alignment horizontal="center"/>
    </xf>
    <xf numFmtId="0" fontId="1" fillId="2" borderId="6" xfId="1" applyFont="1" applyFill="1" applyBorder="1" applyAlignment="1" applyProtection="1">
      <alignment horizontal="center"/>
    </xf>
    <xf numFmtId="0" fontId="1" fillId="2" borderId="10" xfId="1" applyFont="1" applyFill="1" applyBorder="1" applyAlignment="1" applyProtection="1">
      <alignment horizontal="center"/>
    </xf>
    <xf numFmtId="0" fontId="22" fillId="2" borderId="9" xfId="1" applyFont="1" applyFill="1" applyBorder="1" applyAlignment="1" applyProtection="1">
      <alignment horizontal="center"/>
    </xf>
    <xf numFmtId="0" fontId="0" fillId="0" borderId="0" xfId="0" applyBorder="1" applyAlignment="1" applyProtection="1">
      <alignment horizontal="center" vertical="center" wrapText="1"/>
    </xf>
    <xf numFmtId="0" fontId="0" fillId="0" borderId="81" xfId="0" applyBorder="1" applyAlignment="1" applyProtection="1">
      <alignment horizontal="center" vertical="center" wrapText="1"/>
    </xf>
    <xf numFmtId="0" fontId="0" fillId="0" borderId="89" xfId="0" applyBorder="1" applyAlignment="1" applyProtection="1">
      <alignment horizontal="center" vertical="center" wrapText="1"/>
    </xf>
    <xf numFmtId="0" fontId="0" fillId="0" borderId="0" xfId="0" applyBorder="1" applyAlignment="1" applyProtection="1"/>
    <xf numFmtId="0" fontId="5" fillId="0" borderId="0" xfId="0" applyFont="1" applyAlignment="1" applyProtection="1"/>
    <xf numFmtId="0" fontId="0" fillId="0" borderId="80" xfId="0" applyBorder="1" applyAlignment="1" applyProtection="1">
      <alignment horizontal="center" vertical="center" wrapText="1"/>
      <protection locked="0"/>
    </xf>
    <xf numFmtId="164" fontId="6" fillId="0" borderId="36" xfId="0" applyNumberFormat="1" applyFont="1" applyBorder="1" applyAlignment="1" applyProtection="1">
      <protection locked="0"/>
    </xf>
    <xf numFmtId="2" fontId="6" fillId="0" borderId="22" xfId="0" applyNumberFormat="1" applyFont="1" applyBorder="1" applyAlignment="1" applyProtection="1">
      <protection locked="0"/>
    </xf>
    <xf numFmtId="0" fontId="6" fillId="0" borderId="23" xfId="0" applyFont="1" applyBorder="1" applyAlignment="1" applyProtection="1">
      <protection locked="0"/>
    </xf>
    <xf numFmtId="0" fontId="6" fillId="0" borderId="0" xfId="0" applyFont="1" applyAlignment="1" applyProtection="1">
      <protection locked="0"/>
    </xf>
    <xf numFmtId="164" fontId="6" fillId="0" borderId="0" xfId="0" applyNumberFormat="1" applyFont="1" applyAlignment="1" applyProtection="1">
      <protection locked="0"/>
    </xf>
    <xf numFmtId="2" fontId="6" fillId="0" borderId="0" xfId="0" applyNumberFormat="1" applyFont="1" applyAlignment="1" applyProtection="1">
      <protection locked="0"/>
    </xf>
    <xf numFmtId="0" fontId="8" fillId="0" borderId="0" xfId="0" applyFont="1" applyAlignment="1" applyProtection="1">
      <protection locked="0"/>
    </xf>
    <xf numFmtId="164" fontId="6" fillId="0" borderId="88" xfId="1" applyNumberFormat="1" applyFont="1" applyFill="1" applyBorder="1" applyAlignment="1" applyProtection="1">
      <protection locked="0"/>
    </xf>
    <xf numFmtId="2" fontId="0" fillId="0" borderId="81" xfId="0" applyNumberFormat="1" applyBorder="1" applyAlignment="1" applyProtection="1">
      <protection locked="0"/>
    </xf>
    <xf numFmtId="164" fontId="0" fillId="0" borderId="84" xfId="0" applyNumberFormat="1" applyBorder="1" applyAlignment="1" applyProtection="1">
      <protection locked="0"/>
    </xf>
    <xf numFmtId="164" fontId="0" fillId="0" borderId="87" xfId="0" applyNumberFormat="1" applyBorder="1" applyAlignment="1" applyProtection="1">
      <protection locked="0"/>
    </xf>
    <xf numFmtId="164" fontId="6" fillId="0" borderId="91" xfId="1" applyNumberFormat="1" applyFont="1" applyFill="1" applyBorder="1" applyAlignment="1" applyProtection="1">
      <protection locked="0"/>
    </xf>
    <xf numFmtId="164" fontId="6" fillId="0" borderId="92" xfId="1" applyNumberFormat="1" applyFont="1" applyFill="1" applyBorder="1" applyAlignment="1" applyProtection="1">
      <protection locked="0"/>
    </xf>
    <xf numFmtId="164" fontId="6" fillId="0" borderId="93" xfId="1" applyNumberFormat="1" applyFont="1" applyFill="1" applyBorder="1" applyAlignment="1" applyProtection="1">
      <protection locked="0"/>
    </xf>
    <xf numFmtId="0" fontId="6" fillId="0" borderId="16" xfId="0" applyFont="1" applyBorder="1" applyAlignment="1" applyProtection="1">
      <protection locked="0"/>
    </xf>
    <xf numFmtId="0" fontId="6" fillId="0" borderId="19" xfId="0" applyFont="1" applyBorder="1" applyAlignment="1" applyProtection="1">
      <protection locked="0"/>
    </xf>
    <xf numFmtId="164" fontId="6" fillId="0" borderId="34" xfId="0" applyNumberFormat="1" applyFont="1" applyBorder="1" applyAlignment="1" applyProtection="1">
      <protection locked="0"/>
    </xf>
    <xf numFmtId="164" fontId="0" fillId="0" borderId="81" xfId="0" applyNumberFormat="1" applyBorder="1" applyAlignment="1" applyProtection="1">
      <protection locked="0"/>
    </xf>
    <xf numFmtId="0" fontId="0" fillId="0" borderId="83" xfId="0" applyBorder="1" applyAlignment="1" applyProtection="1">
      <alignment horizontal="center"/>
      <protection locked="0"/>
    </xf>
    <xf numFmtId="0" fontId="0" fillId="0" borderId="83" xfId="0" applyBorder="1" applyAlignment="1" applyProtection="1">
      <protection locked="0"/>
    </xf>
    <xf numFmtId="0" fontId="0" fillId="0" borderId="97" xfId="0" applyBorder="1" applyAlignment="1" applyProtection="1">
      <protection locked="0"/>
    </xf>
    <xf numFmtId="0" fontId="0" fillId="0" borderId="98" xfId="0" applyBorder="1" applyAlignment="1" applyProtection="1">
      <protection locked="0"/>
    </xf>
    <xf numFmtId="164" fontId="0" fillId="0" borderId="98" xfId="0" applyNumberFormat="1" applyBorder="1" applyAlignment="1" applyProtection="1">
      <protection locked="0"/>
    </xf>
    <xf numFmtId="164" fontId="6" fillId="0" borderId="73" xfId="0" applyNumberFormat="1" applyFont="1" applyBorder="1" applyAlignment="1" applyProtection="1">
      <protection locked="0"/>
    </xf>
    <xf numFmtId="0" fontId="6" fillId="0" borderId="73" xfId="0" applyFont="1" applyBorder="1" applyAlignment="1" applyProtection="1">
      <protection locked="0"/>
    </xf>
    <xf numFmtId="0" fontId="6" fillId="0" borderId="71" xfId="0" applyFont="1" applyBorder="1" applyAlignment="1" applyProtection="1">
      <protection locked="0"/>
    </xf>
    <xf numFmtId="0" fontId="8" fillId="0" borderId="25" xfId="0" applyFont="1" applyBorder="1" applyAlignment="1" applyProtection="1">
      <protection locked="0"/>
    </xf>
    <xf numFmtId="0" fontId="8" fillId="0" borderId="26" xfId="0" applyFont="1" applyBorder="1" applyAlignment="1" applyProtection="1">
      <protection locked="0"/>
    </xf>
    <xf numFmtId="0" fontId="8" fillId="0" borderId="99" xfId="0" applyFont="1" applyBorder="1" applyAlignment="1" applyProtection="1">
      <protection locked="0"/>
    </xf>
    <xf numFmtId="0" fontId="6" fillId="0" borderId="72" xfId="0" applyFont="1" applyBorder="1" applyAlignment="1" applyProtection="1">
      <protection locked="0"/>
    </xf>
    <xf numFmtId="0" fontId="6" fillId="0" borderId="100" xfId="0" applyFont="1" applyBorder="1" applyAlignment="1" applyProtection="1">
      <protection locked="0"/>
    </xf>
    <xf numFmtId="2" fontId="6" fillId="0" borderId="17" xfId="0" applyNumberFormat="1" applyFont="1" applyBorder="1" applyAlignment="1" applyProtection="1">
      <protection locked="0"/>
    </xf>
    <xf numFmtId="2" fontId="6" fillId="0" borderId="20" xfId="0" applyNumberFormat="1" applyFont="1" applyBorder="1" applyAlignment="1" applyProtection="1">
      <protection locked="0"/>
    </xf>
    <xf numFmtId="2" fontId="6" fillId="0" borderId="71" xfId="0" applyNumberFormat="1" applyFont="1" applyBorder="1" applyAlignment="1" applyProtection="1">
      <protection locked="0"/>
    </xf>
    <xf numFmtId="164" fontId="6" fillId="0" borderId="92" xfId="0" applyNumberFormat="1" applyFont="1" applyBorder="1" applyAlignment="1" applyProtection="1">
      <protection locked="0"/>
    </xf>
    <xf numFmtId="164" fontId="6" fillId="0" borderId="101" xfId="0" applyNumberFormat="1" applyFont="1" applyBorder="1" applyAlignment="1" applyProtection="1">
      <protection locked="0"/>
    </xf>
    <xf numFmtId="164" fontId="6" fillId="0" borderId="72" xfId="0" applyNumberFormat="1" applyFont="1" applyBorder="1" applyAlignment="1" applyProtection="1">
      <protection locked="0"/>
    </xf>
    <xf numFmtId="0" fontId="0" fillId="0" borderId="102" xfId="0" applyBorder="1" applyAlignment="1" applyProtection="1">
      <alignment horizontal="center" vertical="center" wrapText="1"/>
    </xf>
    <xf numFmtId="164" fontId="6" fillId="0" borderId="25" xfId="0" applyNumberFormat="1" applyFont="1" applyBorder="1" applyAlignment="1" applyProtection="1">
      <protection locked="0"/>
    </xf>
    <xf numFmtId="164" fontId="8" fillId="0" borderId="29" xfId="0" applyNumberFormat="1" applyFont="1" applyBorder="1" applyProtection="1">
      <protection locked="0"/>
    </xf>
    <xf numFmtId="164" fontId="6" fillId="0" borderId="16" xfId="0" applyNumberFormat="1" applyFont="1" applyBorder="1" applyProtection="1">
      <protection locked="0"/>
    </xf>
    <xf numFmtId="164" fontId="6" fillId="0" borderId="26" xfId="0" applyNumberFormat="1" applyFont="1" applyBorder="1" applyAlignment="1" applyProtection="1">
      <protection locked="0"/>
    </xf>
    <xf numFmtId="164" fontId="8" fillId="0" borderId="30" xfId="0" applyNumberFormat="1" applyFont="1" applyBorder="1" applyProtection="1">
      <protection locked="0"/>
    </xf>
    <xf numFmtId="164" fontId="6" fillId="0" borderId="35" xfId="0" applyNumberFormat="1" applyFont="1" applyBorder="1" applyAlignment="1" applyProtection="1">
      <protection locked="0"/>
    </xf>
    <xf numFmtId="164" fontId="6" fillId="0" borderId="19" xfId="0" applyNumberFormat="1" applyFont="1" applyBorder="1" applyProtection="1">
      <protection locked="0"/>
    </xf>
    <xf numFmtId="164" fontId="6" fillId="0" borderId="27" xfId="0" applyNumberFormat="1" applyFont="1" applyBorder="1" applyAlignment="1" applyProtection="1">
      <protection locked="0"/>
    </xf>
    <xf numFmtId="164" fontId="8" fillId="0" borderId="31" xfId="0" applyNumberFormat="1" applyFont="1" applyBorder="1" applyProtection="1">
      <protection locked="0"/>
    </xf>
    <xf numFmtId="164" fontId="6" fillId="0" borderId="22" xfId="0" applyNumberFormat="1" applyFont="1" applyBorder="1" applyProtection="1">
      <protection locked="0"/>
    </xf>
    <xf numFmtId="0" fontId="9" fillId="0" borderId="0" xfId="0" applyFont="1" applyAlignment="1">
      <alignment horizontal="left" wrapText="1"/>
    </xf>
    <xf numFmtId="0" fontId="9" fillId="0" borderId="0" xfId="0" applyFont="1" applyAlignment="1" applyProtection="1">
      <alignment horizontal="left" wrapText="1"/>
    </xf>
    <xf numFmtId="0" fontId="0" fillId="3" borderId="0" xfId="0" applyFill="1" applyAlignment="1">
      <alignment horizontal="center"/>
    </xf>
    <xf numFmtId="0" fontId="0" fillId="5" borderId="2" xfId="0" applyFill="1" applyBorder="1" applyAlignment="1">
      <alignment horizontal="left"/>
    </xf>
    <xf numFmtId="0" fontId="0" fillId="5" borderId="3" xfId="0" applyFill="1" applyBorder="1" applyAlignment="1">
      <alignment horizontal="left"/>
    </xf>
    <xf numFmtId="0" fontId="0" fillId="0" borderId="58" xfId="0" applyBorder="1" applyAlignment="1">
      <alignment horizontal="left"/>
    </xf>
    <xf numFmtId="0" fontId="0" fillId="0" borderId="43" xfId="0" applyBorder="1" applyAlignment="1">
      <alignment horizontal="left"/>
    </xf>
    <xf numFmtId="0" fontId="0" fillId="0" borderId="57" xfId="0" applyBorder="1" applyAlignment="1">
      <alignment horizontal="left"/>
    </xf>
    <xf numFmtId="0" fontId="0" fillId="0" borderId="42" xfId="0" applyBorder="1" applyAlignment="1">
      <alignment horizontal="left"/>
    </xf>
    <xf numFmtId="0" fontId="0" fillId="0" borderId="66" xfId="0" applyBorder="1" applyAlignment="1">
      <alignment horizontal="left"/>
    </xf>
    <xf numFmtId="0" fontId="0" fillId="0" borderId="67" xfId="0"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0" xfId="0" applyFont="1" applyBorder="1" applyAlignment="1">
      <alignment horizontal="center"/>
    </xf>
    <xf numFmtId="0" fontId="0" fillId="0" borderId="94" xfId="0" applyBorder="1" applyAlignment="1" applyProtection="1">
      <alignment horizontal="center" vertical="center" wrapText="1"/>
      <protection locked="0"/>
    </xf>
    <xf numFmtId="0" fontId="0" fillId="0" borderId="95" xfId="0" applyBorder="1" applyAlignment="1" applyProtection="1">
      <alignment horizontal="center" vertical="center" wrapText="1"/>
      <protection locked="0"/>
    </xf>
    <xf numFmtId="0" fontId="0" fillId="0" borderId="96"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80"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0" fontId="0" fillId="0" borderId="86" xfId="0" applyBorder="1" applyAlignment="1" applyProtection="1">
      <alignment horizontal="center" vertical="center" wrapText="1"/>
      <protection locked="0"/>
    </xf>
  </cellXfs>
  <cellStyles count="4">
    <cellStyle name="Normal" xfId="0" builtinId="0"/>
    <cellStyle name="Normal_Sheet1" xfId="1"/>
    <cellStyle name="Normal_Sheet1_1" xfId="2"/>
    <cellStyle name="Normal_Sheet1_2" xfId="3"/>
  </cellStyles>
  <dxfs count="5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auto="1"/>
      </font>
      <fill>
        <patternFill>
          <bgColor rgb="FFFF0000"/>
        </patternFill>
      </fill>
    </dxf>
    <dxf>
      <fill>
        <patternFill>
          <fgColor auto="1"/>
          <bgColor rgb="FF92D050"/>
        </patternFill>
      </fill>
    </dxf>
    <dxf>
      <fill>
        <patternFill>
          <bgColor rgb="FF92D050"/>
        </patternFill>
      </fill>
    </dxf>
    <dxf>
      <fill>
        <patternFill>
          <bgColor rgb="FFFF0000"/>
        </patternFill>
      </fill>
    </dxf>
    <dxf>
      <font>
        <color auto="1"/>
      </font>
      <fill>
        <patternFill>
          <bgColor rgb="FFFF0000"/>
        </patternFill>
      </fill>
    </dxf>
    <dxf>
      <fill>
        <patternFill>
          <fgColor auto="1"/>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auto="1"/>
      </font>
      <fill>
        <patternFill>
          <bgColor rgb="FFFF0000"/>
        </patternFill>
      </fill>
    </dxf>
    <dxf>
      <fill>
        <patternFill>
          <fgColor auto="1"/>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auto="1"/>
      </font>
      <fill>
        <patternFill>
          <bgColor rgb="FFFF0000"/>
        </patternFill>
      </fill>
    </dxf>
    <dxf>
      <fill>
        <patternFill>
          <fgColor auto="1"/>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978C9E23-D4B0-11CE-BF2D-00AA003F40D0}" ax:persistence="persistStreamInit" r:id="rId1"/>
</file>

<file path=xl/activeX/activeX3.xml><?xml version="1.0" encoding="utf-8"?>
<ax:ocx xmlns:ax="http://schemas.microsoft.com/office/2006/activeX" xmlns:r="http://schemas.openxmlformats.org/officeDocument/2006/relationships" ax:classid="{978C9E23-D4B0-11CE-BF2D-00AA003F40D0}" ax:persistence="persistStreamInit" r:id="rId1"/>
</file>

<file path=xl/activeX/activeX4.xml><?xml version="1.0" encoding="utf-8"?>
<ax:ocx xmlns:ax="http://schemas.microsoft.com/office/2006/activeX" xmlns:r="http://schemas.openxmlformats.org/officeDocument/2006/relationships" ax:classid="{978C9E23-D4B0-11CE-BF2D-00AA003F40D0}"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Wate</a:t>
            </a:r>
            <a:r>
              <a:rPr lang="en-CA" baseline="0"/>
              <a:t>r Required to Bring Compost to The Desired Moisture Level</a:t>
            </a:r>
            <a:endParaRPr lang="en-CA"/>
          </a:p>
        </c:rich>
      </c:tx>
      <c:layout>
        <c:manualLayout>
          <c:xMode val="edge"/>
          <c:yMode val="edge"/>
          <c:x val="0.11868235491019606"/>
          <c:y val="5.3452103314544822E-2"/>
        </c:manualLayout>
      </c:layout>
      <c:overlay val="0"/>
    </c:title>
    <c:autoTitleDeleted val="0"/>
    <c:plotArea>
      <c:layout>
        <c:manualLayout>
          <c:layoutTarget val="inner"/>
          <c:xMode val="edge"/>
          <c:yMode val="edge"/>
          <c:x val="0.12701917930123399"/>
          <c:y val="0.19020788332009145"/>
          <c:w val="0.73286481723101171"/>
          <c:h val="0.62788661232915333"/>
        </c:manualLayout>
      </c:layout>
      <c:scatterChart>
        <c:scatterStyle val="lineMarker"/>
        <c:varyColors val="0"/>
        <c:ser>
          <c:idx val="0"/>
          <c:order val="0"/>
          <c:tx>
            <c:v>60%</c:v>
          </c:tx>
          <c:marker>
            <c:symbol val="none"/>
          </c:marker>
          <c:xVal>
            <c:numRef>
              <c:f>'Adding Water'!$K$60:$K$72</c:f>
              <c:numCache>
                <c:formatCode>General</c:formatCode>
                <c:ptCount val="13"/>
                <c:pt idx="0">
                  <c:v>0</c:v>
                </c:pt>
                <c:pt idx="1">
                  <c:v>5</c:v>
                </c:pt>
                <c:pt idx="2">
                  <c:v>10</c:v>
                </c:pt>
                <c:pt idx="3">
                  <c:v>15</c:v>
                </c:pt>
                <c:pt idx="4">
                  <c:v>20</c:v>
                </c:pt>
                <c:pt idx="5">
                  <c:v>25</c:v>
                </c:pt>
                <c:pt idx="6">
                  <c:v>30</c:v>
                </c:pt>
                <c:pt idx="7">
                  <c:v>35</c:v>
                </c:pt>
                <c:pt idx="8">
                  <c:v>40</c:v>
                </c:pt>
                <c:pt idx="9">
                  <c:v>45</c:v>
                </c:pt>
                <c:pt idx="10">
                  <c:v>50</c:v>
                </c:pt>
                <c:pt idx="11">
                  <c:v>55</c:v>
                </c:pt>
                <c:pt idx="12">
                  <c:v>60</c:v>
                </c:pt>
              </c:numCache>
            </c:numRef>
          </c:xVal>
          <c:yVal>
            <c:numRef>
              <c:f>'Adding Water'!$N$60:$N$72</c:f>
              <c:numCache>
                <c:formatCode>0</c:formatCode>
                <c:ptCount val="13"/>
                <c:pt idx="0">
                  <c:v>1502.3153252480706</c:v>
                </c:pt>
                <c:pt idx="1">
                  <c:v>1377.122381477398</c:v>
                </c:pt>
                <c:pt idx="2">
                  <c:v>1251.9294377067254</c:v>
                </c:pt>
                <c:pt idx="3">
                  <c:v>1126.736493936053</c:v>
                </c:pt>
                <c:pt idx="4">
                  <c:v>1001.5435501653805</c:v>
                </c:pt>
                <c:pt idx="5">
                  <c:v>876.35060639470782</c:v>
                </c:pt>
                <c:pt idx="6">
                  <c:v>751.15766262403531</c:v>
                </c:pt>
                <c:pt idx="7">
                  <c:v>625.96471885336268</c:v>
                </c:pt>
                <c:pt idx="8">
                  <c:v>500.77177508269023</c:v>
                </c:pt>
                <c:pt idx="9">
                  <c:v>375.57883131201766</c:v>
                </c:pt>
                <c:pt idx="10">
                  <c:v>250.38588754134511</c:v>
                </c:pt>
                <c:pt idx="11">
                  <c:v>125.19294377067256</c:v>
                </c:pt>
                <c:pt idx="12">
                  <c:v>0</c:v>
                </c:pt>
              </c:numCache>
            </c:numRef>
          </c:yVal>
          <c:smooth val="0"/>
        </c:ser>
        <c:ser>
          <c:idx val="1"/>
          <c:order val="1"/>
          <c:tx>
            <c:v>55%</c:v>
          </c:tx>
          <c:marker>
            <c:symbol val="none"/>
          </c:marker>
          <c:xVal>
            <c:numRef>
              <c:f>'Adding Water'!$F$60:$F$71</c:f>
              <c:numCache>
                <c:formatCode>General</c:formatCode>
                <c:ptCount val="12"/>
                <c:pt idx="0">
                  <c:v>0</c:v>
                </c:pt>
                <c:pt idx="1">
                  <c:v>5</c:v>
                </c:pt>
                <c:pt idx="2">
                  <c:v>10</c:v>
                </c:pt>
                <c:pt idx="3">
                  <c:v>15</c:v>
                </c:pt>
                <c:pt idx="4">
                  <c:v>20</c:v>
                </c:pt>
                <c:pt idx="5">
                  <c:v>25</c:v>
                </c:pt>
                <c:pt idx="6">
                  <c:v>30</c:v>
                </c:pt>
                <c:pt idx="7">
                  <c:v>35</c:v>
                </c:pt>
                <c:pt idx="8">
                  <c:v>40</c:v>
                </c:pt>
                <c:pt idx="9">
                  <c:v>45</c:v>
                </c:pt>
                <c:pt idx="10">
                  <c:v>50</c:v>
                </c:pt>
                <c:pt idx="11">
                  <c:v>55</c:v>
                </c:pt>
              </c:numCache>
            </c:numRef>
          </c:xVal>
          <c:yVal>
            <c:numRef>
              <c:f>'Adding Water'!$I$60:$I$71</c:f>
              <c:numCache>
                <c:formatCode>0</c:formatCode>
                <c:ptCount val="12"/>
                <c:pt idx="0">
                  <c:v>1222.7177508269019</c:v>
                </c:pt>
                <c:pt idx="1">
                  <c:v>1114.2171995589856</c:v>
                </c:pt>
                <c:pt idx="2">
                  <c:v>1001.5435501653805</c:v>
                </c:pt>
                <c:pt idx="3">
                  <c:v>888.86990077177506</c:v>
                </c:pt>
                <c:pt idx="4">
                  <c:v>780.36934950385898</c:v>
                </c:pt>
                <c:pt idx="5">
                  <c:v>667.6957001102536</c:v>
                </c:pt>
                <c:pt idx="6">
                  <c:v>555.02205071664832</c:v>
                </c:pt>
                <c:pt idx="7">
                  <c:v>446.52149944873207</c:v>
                </c:pt>
                <c:pt idx="8">
                  <c:v>333.8478500551268</c:v>
                </c:pt>
                <c:pt idx="9">
                  <c:v>221.17420066152152</c:v>
                </c:pt>
                <c:pt idx="10">
                  <c:v>112.6736493936053</c:v>
                </c:pt>
                <c:pt idx="11">
                  <c:v>0</c:v>
                </c:pt>
              </c:numCache>
            </c:numRef>
          </c:yVal>
          <c:smooth val="0"/>
        </c:ser>
        <c:ser>
          <c:idx val="2"/>
          <c:order val="2"/>
          <c:tx>
            <c:v>45%</c:v>
          </c:tx>
          <c:marker>
            <c:symbol val="none"/>
          </c:marker>
          <c:xVal>
            <c:numRef>
              <c:f>'Adding Water'!$A$60:$A$69</c:f>
              <c:numCache>
                <c:formatCode>General</c:formatCode>
                <c:ptCount val="10"/>
                <c:pt idx="0">
                  <c:v>0</c:v>
                </c:pt>
                <c:pt idx="1">
                  <c:v>5</c:v>
                </c:pt>
                <c:pt idx="2">
                  <c:v>10</c:v>
                </c:pt>
                <c:pt idx="3">
                  <c:v>15</c:v>
                </c:pt>
                <c:pt idx="4">
                  <c:v>20</c:v>
                </c:pt>
                <c:pt idx="5">
                  <c:v>25</c:v>
                </c:pt>
                <c:pt idx="6">
                  <c:v>30</c:v>
                </c:pt>
                <c:pt idx="7">
                  <c:v>35</c:v>
                </c:pt>
                <c:pt idx="8">
                  <c:v>40</c:v>
                </c:pt>
                <c:pt idx="9">
                  <c:v>45</c:v>
                </c:pt>
              </c:numCache>
            </c:numRef>
          </c:xVal>
          <c:yVal>
            <c:numRef>
              <c:f>'Adding Water'!$D$60:$D$69</c:f>
              <c:numCache>
                <c:formatCode>0</c:formatCode>
                <c:ptCount val="10"/>
                <c:pt idx="0">
                  <c:v>817.92723263506059</c:v>
                </c:pt>
                <c:pt idx="1">
                  <c:v>730.2921719955898</c:v>
                </c:pt>
                <c:pt idx="2">
                  <c:v>638.48401323043004</c:v>
                </c:pt>
                <c:pt idx="3">
                  <c:v>546.67585446527016</c:v>
                </c:pt>
                <c:pt idx="4">
                  <c:v>454.86769570011023</c:v>
                </c:pt>
                <c:pt idx="5">
                  <c:v>363.05953693495042</c:v>
                </c:pt>
                <c:pt idx="6">
                  <c:v>271.25137816979054</c:v>
                </c:pt>
                <c:pt idx="7">
                  <c:v>183.61631753031975</c:v>
                </c:pt>
                <c:pt idx="8">
                  <c:v>91.808158765159874</c:v>
                </c:pt>
                <c:pt idx="9">
                  <c:v>0</c:v>
                </c:pt>
              </c:numCache>
            </c:numRef>
          </c:yVal>
          <c:smooth val="0"/>
        </c:ser>
        <c:dLbls>
          <c:showLegendKey val="0"/>
          <c:showVal val="0"/>
          <c:showCatName val="0"/>
          <c:showSerName val="0"/>
          <c:showPercent val="0"/>
          <c:showBubbleSize val="0"/>
        </c:dLbls>
        <c:axId val="138687232"/>
        <c:axId val="138689152"/>
      </c:scatterChart>
      <c:valAx>
        <c:axId val="138687232"/>
        <c:scaling>
          <c:orientation val="minMax"/>
        </c:scaling>
        <c:delete val="0"/>
        <c:axPos val="b"/>
        <c:title>
          <c:tx>
            <c:rich>
              <a:bodyPr/>
              <a:lstStyle/>
              <a:p>
                <a:pPr>
                  <a:defRPr/>
                </a:pPr>
                <a:r>
                  <a:rPr lang="en-CA"/>
                  <a:t>Initial Moisture (%)</a:t>
                </a:r>
              </a:p>
            </c:rich>
          </c:tx>
          <c:overlay val="0"/>
        </c:title>
        <c:numFmt formatCode="General" sourceLinked="1"/>
        <c:majorTickMark val="out"/>
        <c:minorTickMark val="none"/>
        <c:tickLblPos val="nextTo"/>
        <c:crossAx val="138689152"/>
        <c:crosses val="autoZero"/>
        <c:crossBetween val="midCat"/>
      </c:valAx>
      <c:valAx>
        <c:axId val="138689152"/>
        <c:scaling>
          <c:orientation val="minMax"/>
        </c:scaling>
        <c:delete val="0"/>
        <c:axPos val="l"/>
        <c:majorGridlines/>
        <c:title>
          <c:tx>
            <c:rich>
              <a:bodyPr rot="-5400000" vert="horz"/>
              <a:lstStyle/>
              <a:p>
                <a:pPr>
                  <a:defRPr/>
                </a:pPr>
                <a:r>
                  <a:rPr lang="en-CA"/>
                  <a:t>L</a:t>
                </a:r>
                <a:r>
                  <a:rPr lang="en-CA" baseline="0"/>
                  <a:t> or kg Water required per </a:t>
                </a:r>
                <a:r>
                  <a:rPr lang="en-CA"/>
                  <a:t>Tonne Feedstock</a:t>
                </a:r>
              </a:p>
            </c:rich>
          </c:tx>
          <c:layout>
            <c:manualLayout>
              <c:xMode val="edge"/>
              <c:yMode val="edge"/>
              <c:x val="3.2631396863610065E-2"/>
              <c:y val="0.22473031940788354"/>
            </c:manualLayout>
          </c:layout>
          <c:overlay val="0"/>
        </c:title>
        <c:numFmt formatCode="0" sourceLinked="1"/>
        <c:majorTickMark val="out"/>
        <c:minorTickMark val="none"/>
        <c:tickLblPos val="nextTo"/>
        <c:crossAx val="138687232"/>
        <c:crosses val="autoZero"/>
        <c:crossBetween val="midCat"/>
      </c:valAx>
    </c:plotArea>
    <c:legend>
      <c:legendPos val="r"/>
      <c:overlay val="0"/>
    </c:legend>
    <c:plotVisOnly val="1"/>
    <c:dispBlanksAs val="gap"/>
    <c:showDLblsOverMax val="0"/>
  </c:chart>
  <c:printSettings>
    <c:headerFooter/>
    <c:pageMargins b="0.75000000000000133" l="0.70000000000000062" r="0.70000000000000062" t="0.75000000000000133" header="0.30000000000000032" footer="0.30000000000000032"/>
    <c:pageSetup orientation="portrait"/>
  </c:printSettings>
  <c:userShapes r:id="rId1"/>
</c:chartSpace>
</file>

<file path=xl/ctrlProps/ctrlProp1.xml><?xml version="1.0" encoding="utf-8"?>
<formControlPr xmlns="http://schemas.microsoft.com/office/spreadsheetml/2009/9/main" objectType="Drop" dropStyle="combo" dx="15" fmlaLink="$B$15" fmlaRange="'Literature CtoN'!$D$10:$D$28" noThreeD="1" val="0"/>
</file>

<file path=xl/ctrlProps/ctrlProp10.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Drop" dropStyle="combo" dx="15" fmlaLink="$B$16" fmlaRange="'Literature CtoN'!$D$10:$D$28" noThreeD="1" sel="8" val="6"/>
</file>

<file path=xl/ctrlProps/ctrlProp3.xml><?xml version="1.0" encoding="utf-8"?>
<formControlPr xmlns="http://schemas.microsoft.com/office/spreadsheetml/2009/9/main" objectType="Radio" checked="Checked" firstButton="1" fmlaLink="$K$2"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Drop" dropLines="10" dropStyle="combo" dx="15" fmlaLink="$B$15" fmlaRange="'Literature CtoN'!$E10:$E102" noThreeD="1" sel="2" val="0"/>
</file>

<file path=xl/ctrlProps/ctrlProp6.xml><?xml version="1.0" encoding="utf-8"?>
<formControlPr xmlns="http://schemas.microsoft.com/office/spreadsheetml/2009/9/main" objectType="Drop" dropLines="10" dropStyle="combo" dx="15" fmlaLink="$B$16" fmlaRange="'Literature CtoN'!$E10:$E102" noThreeD="1" sel="7" val="0"/>
</file>

<file path=xl/ctrlProps/ctrlProp7.xml><?xml version="1.0" encoding="utf-8"?>
<formControlPr xmlns="http://schemas.microsoft.com/office/spreadsheetml/2009/9/main" objectType="Radio" checked="Checked" firstButton="1" fmlaLink="$K$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K$45" lockText="1" noThreeD="1"/>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1152525</xdr:colOff>
          <xdr:row>8</xdr:row>
          <xdr:rowOff>57150</xdr:rowOff>
        </xdr:from>
        <xdr:to>
          <xdr:col>2</xdr:col>
          <xdr:colOff>1419225</xdr:colOff>
          <xdr:row>9</xdr:row>
          <xdr:rowOff>123825</xdr:rowOff>
        </xdr:to>
        <xdr:sp macro="" textlink="">
          <xdr:nvSpPr>
            <xdr:cNvPr id="11265" name="Drop Down 1"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8</xdr:row>
          <xdr:rowOff>47625</xdr:rowOff>
        </xdr:from>
        <xdr:to>
          <xdr:col>6</xdr:col>
          <xdr:colOff>600075</xdr:colOff>
          <xdr:row>9</xdr:row>
          <xdr:rowOff>114300</xdr:rowOff>
        </xdr:to>
        <xdr:sp macro="" textlink="">
          <xdr:nvSpPr>
            <xdr:cNvPr id="11266" name="Drop Down 2"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8</xdr:row>
          <xdr:rowOff>76200</xdr:rowOff>
        </xdr:from>
        <xdr:to>
          <xdr:col>4</xdr:col>
          <xdr:colOff>647700</xdr:colOff>
          <xdr:row>9</xdr:row>
          <xdr:rowOff>114300</xdr:rowOff>
        </xdr:to>
        <xdr:sp macro="" textlink="">
          <xdr:nvSpPr>
            <xdr:cNvPr id="11267" name="Label1"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8</xdr:row>
          <xdr:rowOff>104775</xdr:rowOff>
        </xdr:from>
        <xdr:to>
          <xdr:col>0</xdr:col>
          <xdr:colOff>1038225</xdr:colOff>
          <xdr:row>9</xdr:row>
          <xdr:rowOff>142875</xdr:rowOff>
        </xdr:to>
        <xdr:sp macro="" textlink="">
          <xdr:nvSpPr>
            <xdr:cNvPr id="11268" name="Label2" hidden="1">
              <a:extLst>
                <a:ext uri="{63B3BB69-23CF-44E3-9099-C40C66FF867C}">
                  <a14:compatExt spid="_x0000_s11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742950</xdr:colOff>
          <xdr:row>11</xdr:row>
          <xdr:rowOff>180975</xdr:rowOff>
        </xdr:from>
        <xdr:to>
          <xdr:col>7</xdr:col>
          <xdr:colOff>1047750</xdr:colOff>
          <xdr:row>13</xdr:row>
          <xdr:rowOff>9525</xdr:rowOff>
        </xdr:to>
        <xdr:sp macro="" textlink="">
          <xdr:nvSpPr>
            <xdr:cNvPr id="11269" name="Option Button 5"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638175</xdr:colOff>
          <xdr:row>12</xdr:row>
          <xdr:rowOff>0</xdr:rowOff>
        </xdr:from>
        <xdr:to>
          <xdr:col>7</xdr:col>
          <xdr:colOff>514350</xdr:colOff>
          <xdr:row>13</xdr:row>
          <xdr:rowOff>9525</xdr:rowOff>
        </xdr:to>
        <xdr:sp macro="" textlink="">
          <xdr:nvSpPr>
            <xdr:cNvPr id="11270" name="Option Button 6" hidden="1">
              <a:extLst>
                <a:ext uri="{63B3BB69-23CF-44E3-9099-C40C66FF867C}">
                  <a14:compatExt spid="_x0000_s1127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1152525</xdr:colOff>
          <xdr:row>8</xdr:row>
          <xdr:rowOff>57150</xdr:rowOff>
        </xdr:from>
        <xdr:to>
          <xdr:col>3</xdr:col>
          <xdr:colOff>381000</xdr:colOff>
          <xdr:row>9</xdr:row>
          <xdr:rowOff>123825</xdr:rowOff>
        </xdr:to>
        <xdr:sp macro="" textlink="">
          <xdr:nvSpPr>
            <xdr:cNvPr id="2049" name="Drop Down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657225</xdr:colOff>
          <xdr:row>8</xdr:row>
          <xdr:rowOff>47625</xdr:rowOff>
        </xdr:from>
        <xdr:to>
          <xdr:col>7</xdr:col>
          <xdr:colOff>352425</xdr:colOff>
          <xdr:row>9</xdr:row>
          <xdr:rowOff>114300</xdr:rowOff>
        </xdr:to>
        <xdr:sp macro="" textlink="">
          <xdr:nvSpPr>
            <xdr:cNvPr id="2050" name="Drop Down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8</xdr:row>
          <xdr:rowOff>76200</xdr:rowOff>
        </xdr:from>
        <xdr:to>
          <xdr:col>4</xdr:col>
          <xdr:colOff>647700</xdr:colOff>
          <xdr:row>9</xdr:row>
          <xdr:rowOff>114300</xdr:rowOff>
        </xdr:to>
        <xdr:sp macro="" textlink="">
          <xdr:nvSpPr>
            <xdr:cNvPr id="2051" name="Label1"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8</xdr:row>
          <xdr:rowOff>104775</xdr:rowOff>
        </xdr:from>
        <xdr:to>
          <xdr:col>0</xdr:col>
          <xdr:colOff>1038225</xdr:colOff>
          <xdr:row>9</xdr:row>
          <xdr:rowOff>142875</xdr:rowOff>
        </xdr:to>
        <xdr:sp macro="" textlink="">
          <xdr:nvSpPr>
            <xdr:cNvPr id="2052" name="Label2"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12</xdr:row>
          <xdr:rowOff>85725</xdr:rowOff>
        </xdr:from>
        <xdr:to>
          <xdr:col>7</xdr:col>
          <xdr:colOff>1076325</xdr:colOff>
          <xdr:row>12</xdr:row>
          <xdr:rowOff>304800</xdr:rowOff>
        </xdr:to>
        <xdr:sp macro="" textlink="">
          <xdr:nvSpPr>
            <xdr:cNvPr id="2053" name="Option Button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771525</xdr:colOff>
          <xdr:row>12</xdr:row>
          <xdr:rowOff>85725</xdr:rowOff>
        </xdr:from>
        <xdr:to>
          <xdr:col>6</xdr:col>
          <xdr:colOff>1038225</xdr:colOff>
          <xdr:row>12</xdr:row>
          <xdr:rowOff>304800</xdr:rowOff>
        </xdr:to>
        <xdr:sp macro="" textlink="">
          <xdr:nvSpPr>
            <xdr:cNvPr id="2054" name="Option Button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276226</xdr:colOff>
          <xdr:row>43</xdr:row>
          <xdr:rowOff>133350</xdr:rowOff>
        </xdr:from>
        <xdr:to>
          <xdr:col>5</xdr:col>
          <xdr:colOff>914400</xdr:colOff>
          <xdr:row>45</xdr:row>
          <xdr:rowOff>66675</xdr:rowOff>
        </xdr:to>
        <xdr:grpSp>
          <xdr:nvGrpSpPr>
            <xdr:cNvPr id="2" name="Group 1"/>
            <xdr:cNvGrpSpPr/>
          </xdr:nvGrpSpPr>
          <xdr:grpSpPr>
            <a:xfrm>
              <a:off x="5553076" y="8896350"/>
              <a:ext cx="1704974" cy="504825"/>
              <a:chOff x="3895726" y="7820025"/>
              <a:chExt cx="1704974" cy="323850"/>
            </a:xfrm>
            <a:solidFill>
              <a:schemeClr val="accent2"/>
            </a:solidFill>
          </xdr:grpSpPr>
          <xdr:sp macro="" textlink="">
            <xdr:nvSpPr>
              <xdr:cNvPr id="4097" name="Option Button 1" hidden="1">
                <a:extLst>
                  <a:ext uri="{63B3BB69-23CF-44E3-9099-C40C66FF867C}">
                    <a14:compatExt spid="_x0000_s4097"/>
                  </a:ext>
                </a:extLst>
              </xdr:cNvPr>
              <xdr:cNvSpPr/>
            </xdr:nvSpPr>
            <xdr:spPr>
              <a:xfrm>
                <a:off x="3895726" y="7820025"/>
                <a:ext cx="819150" cy="32385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 C:N</a:t>
                </a:r>
              </a:p>
            </xdr:txBody>
          </xdr:sp>
          <xdr:sp macro="" textlink="">
            <xdr:nvSpPr>
              <xdr:cNvPr id="4098" name="Option Button 2" hidden="1">
                <a:extLst>
                  <a:ext uri="{63B3BB69-23CF-44E3-9099-C40C66FF867C}">
                    <a14:compatExt spid="_x0000_s4098"/>
                  </a:ext>
                </a:extLst>
              </xdr:cNvPr>
              <xdr:cNvSpPr/>
            </xdr:nvSpPr>
            <xdr:spPr>
              <a:xfrm>
                <a:off x="4781550" y="7820025"/>
                <a:ext cx="819150" cy="323850"/>
              </a:xfrm>
              <a:prstGeom prst="rect">
                <a:avLst/>
              </a:prstGeom>
            </xdr:spPr>
            <xdr:txBody>
              <a:bodyPr vertOverflow="clip" wrap="square" lIns="27432" tIns="18288" rIns="0" bIns="18288" anchor="ctr" upright="1"/>
              <a:lstStyle/>
              <a:p>
                <a:pPr algn="l" rtl="0">
                  <a:defRPr sz="1000"/>
                </a:pPr>
                <a:r>
                  <a:rPr lang="en-CA" sz="800" b="0" i="0" u="none" strike="noStrike" baseline="0">
                    <a:solidFill>
                      <a:srgbClr val="000000"/>
                    </a:solidFill>
                    <a:latin typeface="Tahoma"/>
                    <a:ea typeface="Tahoma"/>
                    <a:cs typeface="Tahoma"/>
                  </a:rPr>
                  <a:t> Moisture</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5</xdr:col>
      <xdr:colOff>361949</xdr:colOff>
      <xdr:row>1</xdr:row>
      <xdr:rowOff>85726</xdr:rowOff>
    </xdr:from>
    <xdr:to>
      <xdr:col>10</xdr:col>
      <xdr:colOff>276225</xdr:colOff>
      <xdr:row>24</xdr:row>
      <xdr:rowOff>171451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0.02121</cdr:x>
      <cdr:y>0.9265</cdr:y>
    </cdr:from>
    <cdr:to>
      <cdr:x>0.97576</cdr:x>
      <cdr:y>0.99523</cdr:y>
    </cdr:to>
    <cdr:sp macro="" textlink="">
      <cdr:nvSpPr>
        <cdr:cNvPr id="2" name="TextBox 1"/>
        <cdr:cNvSpPr txBox="1"/>
      </cdr:nvSpPr>
      <cdr:spPr>
        <a:xfrm xmlns:a="http://schemas.openxmlformats.org/drawingml/2006/main">
          <a:off x="133351" y="3962401"/>
          <a:ext cx="6000750" cy="2939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Data from the "Composting Facility Operating Guide"</a:t>
          </a:r>
          <a:r>
            <a:rPr lang="en-CA" sz="1100" baseline="0"/>
            <a:t> The Composting Council (1994).</a:t>
          </a:r>
          <a:endParaRPr lang="en-CA" sz="11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trlProp" Target="../ctrlProps/ctrlProp4.xml"/><Relationship Id="rId5" Type="http://schemas.openxmlformats.org/officeDocument/2006/relationships/image" Target="../media/image1.emf"/><Relationship Id="rId10" Type="http://schemas.openxmlformats.org/officeDocument/2006/relationships/ctrlProp" Target="../ctrlProps/ctrlProp3.xml"/><Relationship Id="rId4" Type="http://schemas.openxmlformats.org/officeDocument/2006/relationships/control" Target="../activeX/activeX1.xml"/><Relationship Id="rId9" Type="http://schemas.openxmlformats.org/officeDocument/2006/relationships/ctrlProp" Target="../ctrlProps/ctrlProp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4.xml"/><Relationship Id="rId11" Type="http://schemas.openxmlformats.org/officeDocument/2006/relationships/ctrlProp" Target="../ctrlProps/ctrlProp8.xml"/><Relationship Id="rId5" Type="http://schemas.openxmlformats.org/officeDocument/2006/relationships/image" Target="../media/image3.emf"/><Relationship Id="rId10" Type="http://schemas.openxmlformats.org/officeDocument/2006/relationships/ctrlProp" Target="../ctrlProps/ctrlProp7.xml"/><Relationship Id="rId4" Type="http://schemas.openxmlformats.org/officeDocument/2006/relationships/control" Target="../activeX/activeX3.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L47"/>
  <sheetViews>
    <sheetView showGridLines="0" workbookViewId="0">
      <selection activeCell="D16" sqref="D16"/>
    </sheetView>
  </sheetViews>
  <sheetFormatPr defaultRowHeight="15" x14ac:dyDescent="0.25"/>
  <cols>
    <col min="1" max="1" width="27.140625" style="2" customWidth="1"/>
    <col min="2" max="2" width="27.140625" style="2" hidden="1" customWidth="1"/>
    <col min="3" max="3" width="27.140625" customWidth="1"/>
    <col min="4" max="8" width="16" customWidth="1"/>
    <col min="9" max="9" width="16" style="24" customWidth="1"/>
    <col min="10" max="10" width="18.5703125" customWidth="1"/>
    <col min="11" max="11" width="3.140625" hidden="1" customWidth="1"/>
    <col min="12" max="12" width="15.42578125" customWidth="1"/>
  </cols>
  <sheetData>
    <row r="1" spans="1:11" s="74" customFormat="1" ht="18.75" x14ac:dyDescent="0.3">
      <c r="A1" s="73" t="s">
        <v>190</v>
      </c>
      <c r="B1" s="73"/>
      <c r="I1" s="75"/>
      <c r="K1" s="74" t="s">
        <v>201</v>
      </c>
    </row>
    <row r="2" spans="1:11" s="74" customFormat="1" ht="18.75" x14ac:dyDescent="0.3">
      <c r="A2" s="73"/>
      <c r="B2" s="73"/>
      <c r="I2" s="75"/>
      <c r="K2" s="74">
        <v>1</v>
      </c>
    </row>
    <row r="3" spans="1:11" x14ac:dyDescent="0.25">
      <c r="A3" s="3" t="s">
        <v>73</v>
      </c>
      <c r="B3" s="3"/>
      <c r="C3" s="3"/>
      <c r="D3" s="3"/>
    </row>
    <row r="4" spans="1:11" x14ac:dyDescent="0.25">
      <c r="A4" s="5" t="s">
        <v>81</v>
      </c>
      <c r="B4" s="5"/>
      <c r="C4" s="5"/>
      <c r="D4" s="5"/>
    </row>
    <row r="5" spans="1:11" s="2" customFormat="1" x14ac:dyDescent="0.25">
      <c r="A5" s="4" t="s">
        <v>148</v>
      </c>
      <c r="C5" s="4"/>
      <c r="D5" s="4"/>
      <c r="K5" s="21" t="s">
        <v>82</v>
      </c>
    </row>
    <row r="6" spans="1:11" s="21" customFormat="1" x14ac:dyDescent="0.25"/>
    <row r="7" spans="1:11" s="21" customFormat="1" x14ac:dyDescent="0.25"/>
    <row r="8" spans="1:11" s="76" customFormat="1" ht="15.75" x14ac:dyDescent="0.25">
      <c r="A8" s="76" t="s">
        <v>101</v>
      </c>
    </row>
    <row r="9" spans="1:11" s="21" customFormat="1" x14ac:dyDescent="0.25">
      <c r="A9" s="46"/>
      <c r="B9" s="46"/>
      <c r="C9" s="46"/>
      <c r="D9" s="46"/>
      <c r="E9" s="46"/>
      <c r="F9" s="46"/>
      <c r="G9" s="46"/>
      <c r="H9" s="45"/>
    </row>
    <row r="10" spans="1:11" s="21" customFormat="1" x14ac:dyDescent="0.25">
      <c r="A10" s="46"/>
      <c r="B10" s="46"/>
      <c r="C10" s="46"/>
      <c r="D10" s="46"/>
      <c r="E10" s="46"/>
      <c r="F10" s="46"/>
      <c r="G10" s="46"/>
      <c r="H10" s="45"/>
    </row>
    <row r="11" spans="1:11" s="21" customFormat="1" x14ac:dyDescent="0.25">
      <c r="A11" s="45"/>
      <c r="B11" s="45"/>
      <c r="C11" s="45"/>
      <c r="D11" s="45"/>
      <c r="E11" s="45"/>
      <c r="F11" s="45"/>
      <c r="G11" s="45"/>
      <c r="H11" s="45"/>
    </row>
    <row r="12" spans="1:11" s="21" customFormat="1" x14ac:dyDescent="0.25">
      <c r="A12" s="45"/>
      <c r="B12" s="45"/>
      <c r="C12" s="45"/>
      <c r="D12" s="45"/>
      <c r="E12" s="45"/>
      <c r="F12" s="45"/>
      <c r="G12" s="45"/>
      <c r="I12" s="45"/>
    </row>
    <row r="13" spans="1:11" s="76" customFormat="1" ht="15.75" x14ac:dyDescent="0.25">
      <c r="A13" s="77" t="s">
        <v>102</v>
      </c>
      <c r="B13" s="77"/>
      <c r="C13" s="77"/>
      <c r="D13" s="77"/>
      <c r="E13" s="77"/>
      <c r="F13" s="77"/>
      <c r="G13" s="176" t="s">
        <v>200</v>
      </c>
      <c r="H13" s="177" t="s">
        <v>160</v>
      </c>
      <c r="I13" s="138" t="s">
        <v>160</v>
      </c>
      <c r="J13" s="138" t="s">
        <v>160</v>
      </c>
    </row>
    <row r="14" spans="1:11" s="2" customFormat="1" ht="17.25" x14ac:dyDescent="0.25">
      <c r="A14" s="9" t="s">
        <v>66</v>
      </c>
      <c r="B14" s="7" t="s">
        <v>100</v>
      </c>
      <c r="C14" s="7" t="s">
        <v>45</v>
      </c>
      <c r="D14" s="7" t="s">
        <v>40</v>
      </c>
      <c r="E14" s="7" t="s">
        <v>44</v>
      </c>
      <c r="F14" s="7" t="s">
        <v>43</v>
      </c>
      <c r="G14" s="47" t="s">
        <v>42</v>
      </c>
      <c r="H14" s="47" t="s">
        <v>42</v>
      </c>
      <c r="I14" s="99" t="s">
        <v>99</v>
      </c>
      <c r="J14" s="99" t="s">
        <v>204</v>
      </c>
      <c r="K14" t="s">
        <v>71</v>
      </c>
    </row>
    <row r="15" spans="1:11" s="51" customFormat="1" x14ac:dyDescent="0.25">
      <c r="A15" s="49" t="s">
        <v>38</v>
      </c>
      <c r="B15" s="50">
        <v>1</v>
      </c>
      <c r="C15" s="67" t="str">
        <f ca="1">LOOKUP($B$15,'Literature CtoN'!$B$10:$B$26,'Literature CtoN'!$D$10:$D$28)</f>
        <v>Liquid Hog Manure (Gold)</v>
      </c>
      <c r="D15" s="139">
        <f ca="1">LOOKUP($B$15,'Literature CtoN'!$B$10:$B$26,'Literature CtoN'!K10:K28)</f>
        <v>3.054694319332421</v>
      </c>
      <c r="E15" s="139">
        <f ca="1">LOOKUP($B$15,'Literature CtoN'!$B$10:$B$26,'Literature CtoN'!O10:O28)</f>
        <v>41.58499019882391</v>
      </c>
      <c r="F15" s="139">
        <f ca="1">LOOKUP($B$15,'Literature CtoN'!$B$10:$B$26,'Literature CtoN'!P10:P28)</f>
        <v>13.86166339960797</v>
      </c>
      <c r="G15" s="159">
        <f ca="1">LOOKUP($B$15,'Literature CtoN'!B10:B26,'Literature CtoN'!G10:G28)</f>
        <v>99.206444444444443</v>
      </c>
      <c r="H15" s="174">
        <v>81</v>
      </c>
      <c r="I15" s="136">
        <v>40000</v>
      </c>
      <c r="J15" s="178">
        <v>0.8</v>
      </c>
      <c r="K15" s="51" t="s">
        <v>72</v>
      </c>
    </row>
    <row r="16" spans="1:11" s="51" customFormat="1" x14ac:dyDescent="0.25">
      <c r="A16" s="52" t="s">
        <v>39</v>
      </c>
      <c r="B16" s="53">
        <v>8</v>
      </c>
      <c r="C16" s="68" t="str">
        <f ca="1">LOOKUP($B$16,'Literature CtoN'!$B$10:$B$26,'Literature CtoN'!$D$10:$D$28)</f>
        <v>Immature Feed Wheat (Fresh Cut)</v>
      </c>
      <c r="D16" s="134">
        <v>30</v>
      </c>
      <c r="E16" s="140">
        <f ca="1">LOOKUP($B$16,'Literature CtoN'!$B$10:$B$26,'Literature CtoN'!O10:O28)</f>
        <v>44.5</v>
      </c>
      <c r="F16" s="140">
        <f ca="1">LOOKUP($B$16,'Literature CtoN'!$B$10:$B$26,'Literature CtoN'!P10:P28)</f>
        <v>1.1121583333333336</v>
      </c>
      <c r="G16" s="160">
        <f ca="1">LOOKUP($B$16,'Literature CtoN'!B10:B26,'Literature CtoN'!G10:G28)</f>
        <v>69</v>
      </c>
      <c r="H16" s="175">
        <v>13.5</v>
      </c>
      <c r="I16" s="137">
        <v>2130</v>
      </c>
      <c r="J16" s="179">
        <v>0.17</v>
      </c>
      <c r="K16" s="51" t="s">
        <v>149</v>
      </c>
    </row>
    <row r="17" spans="1:12" s="51" customFormat="1" x14ac:dyDescent="0.25">
      <c r="A17" s="54"/>
      <c r="B17" s="54"/>
      <c r="F17" s="141"/>
    </row>
    <row r="18" spans="1:12" s="51" customFormat="1" x14ac:dyDescent="0.25">
      <c r="A18" s="55" t="s">
        <v>49</v>
      </c>
      <c r="B18" s="56"/>
      <c r="C18" s="50"/>
      <c r="D18" s="56" t="s">
        <v>40</v>
      </c>
      <c r="E18" s="56" t="s">
        <v>213</v>
      </c>
      <c r="F18" s="142" t="s">
        <v>214</v>
      </c>
      <c r="G18" s="57" t="s">
        <v>42</v>
      </c>
      <c r="K18" s="51" t="s">
        <v>50</v>
      </c>
    </row>
    <row r="19" spans="1:12" s="51" customFormat="1" x14ac:dyDescent="0.25">
      <c r="A19" s="59" t="s">
        <v>56</v>
      </c>
      <c r="B19" s="60"/>
      <c r="C19" s="67" t="str">
        <f t="shared" ref="C19:D20" ca="1" si="0">C15</f>
        <v>Liquid Hog Manure (Gold)</v>
      </c>
      <c r="D19" s="61">
        <f ca="1">D15</f>
        <v>3.054694319332421</v>
      </c>
      <c r="E19" s="61">
        <f ca="1">E15*((100-G19)/100)</f>
        <v>7.9011481377765431</v>
      </c>
      <c r="F19" s="139">
        <f ca="1">F15*((100-G19)/100)</f>
        <v>2.6337160459255142</v>
      </c>
      <c r="G19" s="62">
        <f>IF(K2=2,G15,H15)</f>
        <v>81</v>
      </c>
      <c r="K19" s="51" t="s">
        <v>51</v>
      </c>
    </row>
    <row r="20" spans="1:12" s="51" customFormat="1" x14ac:dyDescent="0.25">
      <c r="A20" s="63" t="s">
        <v>57</v>
      </c>
      <c r="B20" s="64"/>
      <c r="C20" s="68" t="str">
        <f t="shared" ca="1" si="0"/>
        <v>Immature Feed Wheat (Fresh Cut)</v>
      </c>
      <c r="D20" s="65">
        <f t="shared" si="0"/>
        <v>30</v>
      </c>
      <c r="E20" s="65">
        <f ca="1">E16*((100-G20)/100)</f>
        <v>38.4925</v>
      </c>
      <c r="F20" s="140">
        <f ca="1">F16*((100-G20)/100)</f>
        <v>0.96201695833333356</v>
      </c>
      <c r="G20" s="66">
        <f>IF(K2=2,G16,H16)</f>
        <v>13.5</v>
      </c>
      <c r="K20" s="51" t="s">
        <v>150</v>
      </c>
    </row>
    <row r="21" spans="1:12" x14ac:dyDescent="0.25">
      <c r="H21" s="51"/>
    </row>
    <row r="22" spans="1:12" x14ac:dyDescent="0.25">
      <c r="H22" s="51"/>
    </row>
    <row r="23" spans="1:12" s="71" customFormat="1" ht="15.75" x14ac:dyDescent="0.25">
      <c r="A23" s="70" t="s">
        <v>104</v>
      </c>
      <c r="B23" s="70"/>
      <c r="I23" s="72"/>
    </row>
    <row r="24" spans="1:12" x14ac:dyDescent="0.25">
      <c r="A24" s="2" t="s">
        <v>62</v>
      </c>
      <c r="G24" s="2"/>
      <c r="H24" s="2"/>
      <c r="I24" s="21"/>
      <c r="J24" s="2"/>
    </row>
    <row r="25" spans="1:12" x14ac:dyDescent="0.25">
      <c r="A25" s="12" t="s">
        <v>67</v>
      </c>
      <c r="B25" s="43"/>
      <c r="C25" s="13">
        <v>30</v>
      </c>
      <c r="E25" s="119" t="s">
        <v>60</v>
      </c>
      <c r="F25" s="118" t="s">
        <v>61</v>
      </c>
      <c r="G25" s="119" t="s">
        <v>63</v>
      </c>
      <c r="H25" s="118">
        <v>30</v>
      </c>
    </row>
    <row r="27" spans="1:12" x14ac:dyDescent="0.25">
      <c r="A27" s="2" t="s">
        <v>156</v>
      </c>
      <c r="B27"/>
      <c r="H27" s="24"/>
      <c r="I27"/>
    </row>
    <row r="28" spans="1:12" x14ac:dyDescent="0.25">
      <c r="A28" s="9"/>
      <c r="B28" s="43"/>
      <c r="C28" s="14" t="s">
        <v>47</v>
      </c>
      <c r="D28" s="15" t="s">
        <v>48</v>
      </c>
      <c r="E28" s="6" t="str">
        <f ca="1">CONCATENATE("To use all ", C15, " add ", ROUND(I15*D29,0), " kg ",C16)</f>
        <v>To use all Liquid Hog Manure (Gold) add 285600 kg Immature Feed Wheat (Fresh Cut)</v>
      </c>
    </row>
    <row r="29" spans="1:12" x14ac:dyDescent="0.25">
      <c r="A29" s="9"/>
      <c r="B29" s="43"/>
      <c r="C29" s="14">
        <f ca="1">ROUND(((E20/100)-(C25*(F20/100)))/((C25*(F19/100))-(E19/100)),2)</f>
        <v>0.14000000000000001</v>
      </c>
      <c r="D29" s="15">
        <f ca="1">ROUND(1/C29,2)</f>
        <v>7.14</v>
      </c>
      <c r="E29" s="6"/>
      <c r="K29" t="s">
        <v>215</v>
      </c>
    </row>
    <row r="30" spans="1:12" x14ac:dyDescent="0.25">
      <c r="A30" s="9" t="s">
        <v>202</v>
      </c>
      <c r="B30" s="43"/>
      <c r="C30" s="18" t="str">
        <f ca="1">CONCATENATE(C29,":1")</f>
        <v>0.14:1</v>
      </c>
      <c r="D30" s="19" t="str">
        <f ca="1">CONCATENATE(D29,":1")</f>
        <v>7.14:1</v>
      </c>
      <c r="E30" s="6" t="str">
        <f ca="1">CONCATENATE("To use all ", C16, " add ", ROUND(I16*C29,0),  " kg ",C15)</f>
        <v>To use all Immature Feed Wheat (Fresh Cut) add 298 kg Liquid Hog Manure (Gold)</v>
      </c>
      <c r="K30" t="s">
        <v>52</v>
      </c>
    </row>
    <row r="31" spans="1:12" x14ac:dyDescent="0.25">
      <c r="A31" s="16" t="s">
        <v>203</v>
      </c>
      <c r="B31" s="44"/>
      <c r="C31" s="17" t="str">
        <f ca="1">CONCATENATE(ROUND((C29/J15)/(1/J16),1),":", (1/J16)/(1/J16))</f>
        <v>0:1</v>
      </c>
      <c r="D31" s="19" t="str">
        <f ca="1">CONCATENATE(ROUND( 1/((C29/J15)/(1/J16)),1),":1")</f>
        <v>33.6:1</v>
      </c>
      <c r="E31" s="6"/>
    </row>
    <row r="32" spans="1:12" s="6" customFormat="1" x14ac:dyDescent="0.25">
      <c r="A32" s="16" t="s">
        <v>58</v>
      </c>
      <c r="B32" s="44"/>
      <c r="C32" s="17">
        <f ca="1">100*((C29*(G19/100))+(1*(G20/100)))/(C29+1)</f>
        <v>21.789473684210524</v>
      </c>
      <c r="D32" s="20"/>
      <c r="E32"/>
      <c r="F32"/>
      <c r="G32"/>
      <c r="H32"/>
      <c r="I32" s="24"/>
      <c r="J32"/>
      <c r="K32" t="s">
        <v>216</v>
      </c>
      <c r="L32"/>
    </row>
    <row r="33" spans="1:11" s="6" customFormat="1" x14ac:dyDescent="0.25">
      <c r="I33" s="25"/>
    </row>
    <row r="34" spans="1:11" s="6" customFormat="1" x14ac:dyDescent="0.25">
      <c r="I34" s="25"/>
    </row>
    <row r="35" spans="1:11" s="71" customFormat="1" ht="15.75" x14ac:dyDescent="0.25">
      <c r="A35" s="70" t="s">
        <v>103</v>
      </c>
      <c r="B35" s="70"/>
      <c r="I35" s="72"/>
    </row>
    <row r="36" spans="1:11" x14ac:dyDescent="0.25">
      <c r="A36" s="2" t="s">
        <v>41</v>
      </c>
    </row>
    <row r="37" spans="1:11" x14ac:dyDescent="0.25">
      <c r="A37" s="12" t="s">
        <v>69</v>
      </c>
      <c r="B37" s="43"/>
      <c r="C37" s="26">
        <v>68.2</v>
      </c>
      <c r="E37" s="119" t="s">
        <v>60</v>
      </c>
      <c r="F37" s="118" t="s">
        <v>64</v>
      </c>
      <c r="G37" s="119" t="s">
        <v>65</v>
      </c>
      <c r="H37" s="120">
        <v>0.55000000000000004</v>
      </c>
    </row>
    <row r="38" spans="1:11" ht="15.75" customHeight="1" x14ac:dyDescent="0.25">
      <c r="A38" s="47"/>
      <c r="B38" s="7"/>
      <c r="C38" s="135"/>
    </row>
    <row r="39" spans="1:11" x14ac:dyDescent="0.25">
      <c r="A39" s="44" t="s">
        <v>155</v>
      </c>
      <c r="B39" s="34"/>
      <c r="C39" s="34"/>
      <c r="H39" s="24"/>
      <c r="I39"/>
    </row>
    <row r="40" spans="1:11" x14ac:dyDescent="0.25">
      <c r="A40" s="9"/>
      <c r="B40" s="43"/>
      <c r="C40" s="14" t="s">
        <v>47</v>
      </c>
      <c r="D40" s="15" t="s">
        <v>48</v>
      </c>
      <c r="E40" s="6" t="str">
        <f ca="1">CONCATENATE("To use all ", C15, " add ", ROUND(I15*D41,0),  " kg ",C16)</f>
        <v>To use all Liquid Hog Manure (Gold) add 9360 kg Immature Feed Wheat (Fresh Cut)</v>
      </c>
    </row>
    <row r="41" spans="1:11" hidden="1" x14ac:dyDescent="0.25">
      <c r="A41" s="9"/>
      <c r="B41" s="43"/>
      <c r="C41" s="18">
        <f>(C37-G20)/(G19-C37)</f>
        <v>4.2734375000000009</v>
      </c>
      <c r="D41" s="19">
        <f>1/C41</f>
        <v>0.23400365630712974</v>
      </c>
      <c r="E41" s="6"/>
    </row>
    <row r="42" spans="1:11" x14ac:dyDescent="0.25">
      <c r="A42" s="9" t="s">
        <v>46</v>
      </c>
      <c r="B42" s="43"/>
      <c r="C42" s="18" t="str">
        <f>CONCATENATE(ROUND(C41,2),":1")</f>
        <v>4.27:1</v>
      </c>
      <c r="D42" s="19" t="str">
        <f>CONCATENATE(ROUND(D41,2),":1")</f>
        <v>0.23:1</v>
      </c>
      <c r="E42" s="6" t="str">
        <f ca="1">CONCATENATE("To use all ", C16, " add ", ROUND(I16*C41,0),  " kg ",C15)</f>
        <v>To use all Immature Feed Wheat (Fresh Cut) add 9102 kg Liquid Hog Manure (Gold)</v>
      </c>
      <c r="K42" t="s">
        <v>70</v>
      </c>
    </row>
    <row r="43" spans="1:11" x14ac:dyDescent="0.25">
      <c r="A43" s="16" t="s">
        <v>203</v>
      </c>
      <c r="B43" s="44"/>
      <c r="C43" s="17" t="str">
        <f>CONCATENATE(ROUND((C41/J15)/(1/J16),1),":", (1/J16)/(1/J16))</f>
        <v>0.9:1</v>
      </c>
      <c r="D43" s="19" t="str">
        <f>CONCATENATE(ROUND( 1/((C41/J15)/(1/J16)),1),":1")</f>
        <v>1.1:1</v>
      </c>
      <c r="E43" s="6"/>
    </row>
    <row r="44" spans="1:11" x14ac:dyDescent="0.25">
      <c r="A44" s="16" t="s">
        <v>68</v>
      </c>
      <c r="B44" s="44"/>
      <c r="C44" s="17">
        <f ca="1">(C41*(E19/100)+1*(E20/100))/(C41*(F19/100)+1*(F20/100))</f>
        <v>5.9144911797884463</v>
      </c>
      <c r="D44" s="20"/>
      <c r="K44" s="180" t="s">
        <v>217</v>
      </c>
    </row>
    <row r="47" spans="1:11" s="71" customFormat="1" ht="32.25" customHeight="1" x14ac:dyDescent="0.25">
      <c r="A47" s="557" t="s">
        <v>157</v>
      </c>
      <c r="B47" s="557"/>
      <c r="C47" s="557"/>
      <c r="D47" s="557"/>
      <c r="E47" s="557"/>
      <c r="F47" s="557"/>
      <c r="G47" s="557"/>
      <c r="H47" s="557"/>
      <c r="I47" s="72"/>
    </row>
  </sheetData>
  <mergeCells count="1">
    <mergeCell ref="A47:H47"/>
  </mergeCells>
  <conditionalFormatting sqref="C32">
    <cfRule type="expression" dxfId="52" priority="8">
      <formula>AND($C$32&gt;45, $C$32&lt;60)</formula>
    </cfRule>
    <cfRule type="expression" dxfId="51" priority="9">
      <formula>OR($C$32&lt;45,$C$32&gt;60)</formula>
    </cfRule>
  </conditionalFormatting>
  <conditionalFormatting sqref="C44">
    <cfRule type="expression" dxfId="50" priority="6">
      <formula>OR($C$44&lt;25,$C$44&gt;40)</formula>
    </cfRule>
    <cfRule type="expression" dxfId="49" priority="7">
      <formula>AND($C$44&gt;=25,$C$44&lt;=40)</formula>
    </cfRule>
  </conditionalFormatting>
  <conditionalFormatting sqref="C30:D31">
    <cfRule type="cellIs" dxfId="48" priority="5" operator="lessThan">
      <formula>0</formula>
    </cfRule>
  </conditionalFormatting>
  <conditionalFormatting sqref="C42:D42">
    <cfRule type="cellIs" dxfId="47" priority="4" operator="lessThan">
      <formula>0</formula>
    </cfRule>
  </conditionalFormatting>
  <conditionalFormatting sqref="C41">
    <cfRule type="cellIs" dxfId="46" priority="3" operator="lessThan">
      <formula>0</formula>
    </cfRule>
  </conditionalFormatting>
  <conditionalFormatting sqref="D41">
    <cfRule type="cellIs" dxfId="45" priority="2" operator="lessThan">
      <formula>0</formula>
    </cfRule>
  </conditionalFormatting>
  <conditionalFormatting sqref="E28:H29">
    <cfRule type="expression" dxfId="44" priority="10">
      <formula>AND($I$15*$D$29&lt;$I$16,$I$15*$D$29&gt;0)</formula>
    </cfRule>
    <cfRule type="expression" dxfId="43" priority="11">
      <formula>OR($I$15*$D$29&gt;$I$16,$I$15*$D$3+$F$29&lt;0)</formula>
    </cfRule>
  </conditionalFormatting>
  <conditionalFormatting sqref="E30:H30">
    <cfRule type="expression" dxfId="42" priority="12">
      <formula>AND($I$16*$C$29&lt;$I$15,$I$16*$C$29&gt;0)</formula>
    </cfRule>
    <cfRule type="expression" dxfId="41" priority="13">
      <formula>OR($I$16*$C$29&gt;$I$15,$I$16*$C$29&lt;0)</formula>
    </cfRule>
  </conditionalFormatting>
  <conditionalFormatting sqref="E40:H41">
    <cfRule type="expression" dxfId="40" priority="14">
      <formula>AND($I$15*$D$41&lt;$I$16,$I$15*$D$41&gt;0)</formula>
    </cfRule>
    <cfRule type="expression" dxfId="39" priority="15">
      <formula>OR($I$15*$D$41&gt;$I$16,$I$15*$D$41&lt;0)</formula>
    </cfRule>
  </conditionalFormatting>
  <conditionalFormatting sqref="E42:H42">
    <cfRule type="expression" dxfId="38" priority="16">
      <formula>AND($I$16*$C$41&lt;$I$15,$I$16*$C$41&gt;0)</formula>
    </cfRule>
    <cfRule type="expression" dxfId="37" priority="17">
      <formula>OR($I$16*$C$41&gt;$I$15,$I$16*$C$41&lt;0)</formula>
    </cfRule>
  </conditionalFormatting>
  <conditionalFormatting sqref="C43:D43">
    <cfRule type="cellIs" dxfId="36" priority="1" operator="lessThan">
      <formula>0</formula>
    </cfRule>
  </conditionalFormatting>
  <pageMargins left="0.70866141732283472" right="0.70866141732283472" top="0.74803149606299213" bottom="0.74803149606299213" header="0.31496062992125984" footer="0.31496062992125984"/>
  <pageSetup scale="72" orientation="landscape" r:id="rId1"/>
  <drawing r:id="rId2"/>
  <legacyDrawing r:id="rId3"/>
  <controls>
    <mc:AlternateContent xmlns:mc="http://schemas.openxmlformats.org/markup-compatibility/2006">
      <mc:Choice Requires="x14">
        <control shapeId="11268" r:id="rId4" name="Label2">
          <controlPr autoLine="0" r:id="rId5">
            <anchor moveWithCells="1">
              <from>
                <xdr:col>0</xdr:col>
                <xdr:colOff>123825</xdr:colOff>
                <xdr:row>8</xdr:row>
                <xdr:rowOff>104775</xdr:rowOff>
              </from>
              <to>
                <xdr:col>0</xdr:col>
                <xdr:colOff>1038225</xdr:colOff>
                <xdr:row>9</xdr:row>
                <xdr:rowOff>142875</xdr:rowOff>
              </to>
            </anchor>
          </controlPr>
        </control>
      </mc:Choice>
      <mc:Fallback>
        <control shapeId="11268" r:id="rId4" name="Label2"/>
      </mc:Fallback>
    </mc:AlternateContent>
    <mc:AlternateContent xmlns:mc="http://schemas.openxmlformats.org/markup-compatibility/2006">
      <mc:Choice Requires="x14">
        <control shapeId="11267" r:id="rId6" name="Label1">
          <controlPr autoLine="0" r:id="rId7">
            <anchor moveWithCells="1">
              <from>
                <xdr:col>3</xdr:col>
                <xdr:colOff>800100</xdr:colOff>
                <xdr:row>8</xdr:row>
                <xdr:rowOff>76200</xdr:rowOff>
              </from>
              <to>
                <xdr:col>4</xdr:col>
                <xdr:colOff>647700</xdr:colOff>
                <xdr:row>9</xdr:row>
                <xdr:rowOff>114300</xdr:rowOff>
              </to>
            </anchor>
          </controlPr>
        </control>
      </mc:Choice>
      <mc:Fallback>
        <control shapeId="11267" r:id="rId6" name="Label1"/>
      </mc:Fallback>
    </mc:AlternateContent>
    <mc:AlternateContent xmlns:mc="http://schemas.openxmlformats.org/markup-compatibility/2006">
      <mc:Choice Requires="x14">
        <control shapeId="11265" r:id="rId8" name="Drop Down 1">
          <controlPr defaultSize="0" autoLine="0" autoPict="0">
            <anchor moveWithCells="1">
              <from>
                <xdr:col>0</xdr:col>
                <xdr:colOff>1152525</xdr:colOff>
                <xdr:row>8</xdr:row>
                <xdr:rowOff>57150</xdr:rowOff>
              </from>
              <to>
                <xdr:col>2</xdr:col>
                <xdr:colOff>1419225</xdr:colOff>
                <xdr:row>9</xdr:row>
                <xdr:rowOff>123825</xdr:rowOff>
              </to>
            </anchor>
          </controlPr>
        </control>
      </mc:Choice>
    </mc:AlternateContent>
    <mc:AlternateContent xmlns:mc="http://schemas.openxmlformats.org/markup-compatibility/2006">
      <mc:Choice Requires="x14">
        <control shapeId="11266" r:id="rId9" name="Drop Down 2">
          <controlPr defaultSize="0" autoLine="0" autoPict="0">
            <anchor moveWithCells="1">
              <from>
                <xdr:col>4</xdr:col>
                <xdr:colOff>657225</xdr:colOff>
                <xdr:row>8</xdr:row>
                <xdr:rowOff>47625</xdr:rowOff>
              </from>
              <to>
                <xdr:col>6</xdr:col>
                <xdr:colOff>600075</xdr:colOff>
                <xdr:row>9</xdr:row>
                <xdr:rowOff>114300</xdr:rowOff>
              </to>
            </anchor>
          </controlPr>
        </control>
      </mc:Choice>
    </mc:AlternateContent>
    <mc:AlternateContent xmlns:mc="http://schemas.openxmlformats.org/markup-compatibility/2006">
      <mc:Choice Requires="x14">
        <control shapeId="11269" r:id="rId10" name="Option Button 5">
          <controlPr defaultSize="0" autoFill="0" autoLine="0" autoPict="0">
            <anchor moveWithCells="1">
              <from>
                <xdr:col>7</xdr:col>
                <xdr:colOff>742950</xdr:colOff>
                <xdr:row>11</xdr:row>
                <xdr:rowOff>180975</xdr:rowOff>
              </from>
              <to>
                <xdr:col>7</xdr:col>
                <xdr:colOff>1047750</xdr:colOff>
                <xdr:row>13</xdr:row>
                <xdr:rowOff>9525</xdr:rowOff>
              </to>
            </anchor>
          </controlPr>
        </control>
      </mc:Choice>
    </mc:AlternateContent>
    <mc:AlternateContent xmlns:mc="http://schemas.openxmlformats.org/markup-compatibility/2006">
      <mc:Choice Requires="x14">
        <control shapeId="11270" r:id="rId11" name="Option Button 6">
          <controlPr defaultSize="0" autoFill="0" autoLine="0" autoPict="0">
            <anchor moveWithCells="1">
              <from>
                <xdr:col>6</xdr:col>
                <xdr:colOff>638175</xdr:colOff>
                <xdr:row>12</xdr:row>
                <xdr:rowOff>0</xdr:rowOff>
              </from>
              <to>
                <xdr:col>7</xdr:col>
                <xdr:colOff>514350</xdr:colOff>
                <xdr:row>13</xdr:row>
                <xdr:rowOff>9525</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L47"/>
  <sheetViews>
    <sheetView showGridLines="0" tabSelected="1" workbookViewId="0">
      <selection activeCell="H15" sqref="H15:J16"/>
    </sheetView>
  </sheetViews>
  <sheetFormatPr defaultRowHeight="15" x14ac:dyDescent="0.25"/>
  <cols>
    <col min="1" max="1" width="27.140625" style="228" customWidth="1"/>
    <col min="2" max="2" width="27.140625" style="228" hidden="1" customWidth="1"/>
    <col min="3" max="3" width="27.140625" style="224" customWidth="1"/>
    <col min="4" max="6" width="16" style="224" customWidth="1"/>
    <col min="7" max="7" width="16.42578125" style="224" customWidth="1"/>
    <col min="8" max="8" width="17.85546875" style="224" customWidth="1"/>
    <col min="9" max="9" width="21.140625" style="225" customWidth="1"/>
    <col min="10" max="10" width="18.28515625" style="224" customWidth="1"/>
    <col min="11" max="11" width="3.140625" style="224" hidden="1" customWidth="1"/>
    <col min="12" max="12" width="15.42578125" style="224" customWidth="1"/>
    <col min="13" max="16384" width="9.140625" style="224"/>
  </cols>
  <sheetData>
    <row r="1" spans="1:11" s="221" customFormat="1" ht="18.75" x14ac:dyDescent="0.3">
      <c r="A1" s="220" t="s">
        <v>190</v>
      </c>
      <c r="B1" s="220"/>
      <c r="I1" s="222"/>
      <c r="K1" s="221" t="s">
        <v>201</v>
      </c>
    </row>
    <row r="2" spans="1:11" s="221" customFormat="1" ht="18.75" x14ac:dyDescent="0.3">
      <c r="A2" s="220"/>
      <c r="B2" s="220"/>
      <c r="I2" s="222"/>
      <c r="K2" s="210">
        <v>1</v>
      </c>
    </row>
    <row r="3" spans="1:11" x14ac:dyDescent="0.25">
      <c r="A3" s="223" t="s">
        <v>73</v>
      </c>
      <c r="B3" s="223"/>
      <c r="C3" s="223"/>
      <c r="D3" s="223"/>
    </row>
    <row r="4" spans="1:11" x14ac:dyDescent="0.25">
      <c r="A4" s="226" t="s">
        <v>81</v>
      </c>
      <c r="B4" s="226"/>
      <c r="C4" s="226"/>
      <c r="D4" s="226"/>
    </row>
    <row r="5" spans="1:11" s="228" customFormat="1" x14ac:dyDescent="0.25">
      <c r="A5" s="227" t="s">
        <v>148</v>
      </c>
      <c r="C5" s="227"/>
      <c r="D5" s="227"/>
      <c r="K5" s="229" t="s">
        <v>82</v>
      </c>
    </row>
    <row r="6" spans="1:11" s="229" customFormat="1" x14ac:dyDescent="0.25"/>
    <row r="7" spans="1:11" s="229" customFormat="1" x14ac:dyDescent="0.25"/>
    <row r="8" spans="1:11" s="230" customFormat="1" ht="15.75" x14ac:dyDescent="0.25">
      <c r="A8" s="230" t="s">
        <v>101</v>
      </c>
    </row>
    <row r="9" spans="1:11" s="229" customFormat="1" x14ac:dyDescent="0.25">
      <c r="A9" s="231"/>
      <c r="B9" s="231"/>
      <c r="C9" s="231"/>
      <c r="D9" s="231"/>
      <c r="E9" s="231"/>
      <c r="F9" s="231"/>
      <c r="G9" s="231"/>
      <c r="H9" s="231"/>
    </row>
    <row r="10" spans="1:11" s="229" customFormat="1" x14ac:dyDescent="0.25">
      <c r="A10" s="231"/>
      <c r="B10" s="231"/>
      <c r="C10" s="231"/>
      <c r="D10" s="231"/>
      <c r="E10" s="231"/>
      <c r="F10" s="231"/>
      <c r="G10" s="231"/>
      <c r="H10" s="231"/>
    </row>
    <row r="11" spans="1:11" s="229" customFormat="1" x14ac:dyDescent="0.25">
      <c r="A11" s="232"/>
      <c r="B11" s="232"/>
      <c r="C11" s="232"/>
      <c r="D11" s="232"/>
      <c r="E11" s="232"/>
      <c r="F11" s="232"/>
      <c r="G11" s="232"/>
      <c r="H11" s="232"/>
    </row>
    <row r="12" spans="1:11" s="229" customFormat="1" x14ac:dyDescent="0.25">
      <c r="A12" s="232"/>
      <c r="B12" s="232"/>
      <c r="C12" s="232"/>
      <c r="D12" s="232"/>
      <c r="E12" s="232"/>
      <c r="F12" s="232"/>
      <c r="G12" s="232"/>
      <c r="I12" s="232"/>
    </row>
    <row r="13" spans="1:11" s="238" customFormat="1" ht="45" x14ac:dyDescent="0.25">
      <c r="A13" s="233" t="s">
        <v>102</v>
      </c>
      <c r="B13" s="234"/>
      <c r="C13" s="234"/>
      <c r="D13" s="234"/>
      <c r="E13" s="234"/>
      <c r="F13" s="234"/>
      <c r="G13" s="235" t="s">
        <v>259</v>
      </c>
      <c r="H13" s="236" t="s">
        <v>258</v>
      </c>
      <c r="I13" s="237" t="s">
        <v>256</v>
      </c>
      <c r="J13" s="237" t="s">
        <v>246</v>
      </c>
    </row>
    <row r="14" spans="1:11" s="228" customFormat="1" ht="17.25" x14ac:dyDescent="0.25">
      <c r="A14" s="239" t="s">
        <v>66</v>
      </c>
      <c r="B14" s="240" t="s">
        <v>100</v>
      </c>
      <c r="C14" s="240" t="s">
        <v>45</v>
      </c>
      <c r="D14" s="240" t="s">
        <v>40</v>
      </c>
      <c r="E14" s="240" t="s">
        <v>44</v>
      </c>
      <c r="F14" s="240" t="s">
        <v>43</v>
      </c>
      <c r="G14" s="241" t="s">
        <v>42</v>
      </c>
      <c r="H14" s="241" t="s">
        <v>42</v>
      </c>
      <c r="I14" s="242" t="s">
        <v>99</v>
      </c>
      <c r="J14" s="242" t="s">
        <v>204</v>
      </c>
      <c r="K14" s="224" t="s">
        <v>71</v>
      </c>
    </row>
    <row r="15" spans="1:11" s="249" customFormat="1" x14ac:dyDescent="0.25">
      <c r="A15" s="243" t="s">
        <v>38</v>
      </c>
      <c r="B15" s="289">
        <v>2</v>
      </c>
      <c r="C15" s="245" t="str">
        <f>IF(ISTEXT(VLOOKUP($B$15,'Literature CtoN'!$B:$Q,3,FALSE)),VLOOKUP($B$15,'Literature CtoN'!$B:$Q,3,FALSE),"Not Found")</f>
        <v>Solid Dairy Manure</v>
      </c>
      <c r="D15" s="246">
        <f>IF(ISNUMBER(VLOOKUP($B$15,'Literature CtoN'!$B:$Q,10,FALSE)),VLOOKUP($B$15,'Literature CtoN'!$B:$Q,10,FALSE),NA())</f>
        <v>16.173970738346373</v>
      </c>
      <c r="E15" s="246">
        <f>IF(ISNUMBER(VLOOKUP($B$15,'Literature CtoN'!$B:$Q,14,FALSE)),VLOOKUP($B$15,'Literature CtoN'!$B:$Q,14,FALSE),NA())</f>
        <v>41.984588295435181</v>
      </c>
      <c r="F15" s="247">
        <f>IF(ISNUMBER(VLOOKUP($B$15,'Literature CtoN'!$B:$Q,15,FALSE)),VLOOKUP($B$15,'Literature CtoN'!$B:$Q,15,FALSE),NA())</f>
        <v>2.6033284737868492</v>
      </c>
      <c r="G15" s="248">
        <f>IF(ISNUMBER(VLOOKUP($B$15,'Literature CtoN'!$B:$Q,6,FALSE)),VLOOKUP($B$15,'Literature CtoN'!$B:$Q,6,FALSE),NA())</f>
        <v>78.873199999999997</v>
      </c>
      <c r="H15" s="212">
        <v>76</v>
      </c>
      <c r="I15" s="213">
        <v>40000</v>
      </c>
      <c r="J15" s="214">
        <v>0.85</v>
      </c>
      <c r="K15" s="249" t="s">
        <v>72</v>
      </c>
    </row>
    <row r="16" spans="1:11" s="249" customFormat="1" x14ac:dyDescent="0.25">
      <c r="A16" s="250" t="s">
        <v>39</v>
      </c>
      <c r="B16" s="290">
        <v>7</v>
      </c>
      <c r="C16" s="251" t="str">
        <f>IF(ISTEXT(VLOOKUP($B$16,'Literature CtoN'!$B:$Q,3,FALSE)),VLOOKUP($B$16,'Literature CtoN'!$B:$Q,3,FALSE),"Not Found")</f>
        <v>Non-Legume Hay (Fresh Cut)</v>
      </c>
      <c r="D16" s="252">
        <f>IF(ISNUMBER(VLOOKUP($B$16,'Literature CtoN'!$B:$Q,10,FALSE)),VLOOKUP($B$16,'Literature CtoN'!$B:$Q,10,FALSE),NA())</f>
        <v>37.776666666666671</v>
      </c>
      <c r="E16" s="252">
        <f>IF(ISNUMBER(VLOOKUP($B$16,'Literature CtoN'!$B:$Q,14,FALSE)),VLOOKUP($B$16,'Literature CtoN'!$B:$Q,14,FALSE),NA())</f>
        <v>44.5</v>
      </c>
      <c r="F16" s="253">
        <f>IF(ISNUMBER(VLOOKUP($B$16,'Literature CtoN'!$B:$Q,15,FALSE)),VLOOKUP($B$16,'Literature CtoN'!$B:$Q,15,FALSE),NA())</f>
        <v>1.2310663194444444</v>
      </c>
      <c r="G16" s="254">
        <f>IF(ISNUMBER(VLOOKUP($B$16,'Literature CtoN'!$B:$Q,6,FALSE)),VLOOKUP($B$16,'Literature CtoN'!$B:$Q,6,FALSE),NA())</f>
        <v>66.7</v>
      </c>
      <c r="H16" s="215">
        <v>15</v>
      </c>
      <c r="I16" s="216">
        <v>9820</v>
      </c>
      <c r="J16" s="217">
        <v>0.26</v>
      </c>
      <c r="K16" s="249" t="s">
        <v>149</v>
      </c>
    </row>
    <row r="17" spans="1:12" s="249" customFormat="1" x14ac:dyDescent="0.25">
      <c r="A17" s="255"/>
      <c r="B17" s="255"/>
      <c r="F17" s="256"/>
    </row>
    <row r="18" spans="1:12" s="249" customFormat="1" x14ac:dyDescent="0.25">
      <c r="A18" s="257" t="s">
        <v>49</v>
      </c>
      <c r="B18" s="258"/>
      <c r="C18" s="244"/>
      <c r="D18" s="258" t="s">
        <v>40</v>
      </c>
      <c r="E18" s="258" t="s">
        <v>213</v>
      </c>
      <c r="F18" s="259" t="s">
        <v>214</v>
      </c>
      <c r="G18" s="260" t="s">
        <v>42</v>
      </c>
      <c r="K18" s="249" t="s">
        <v>50</v>
      </c>
    </row>
    <row r="19" spans="1:12" s="249" customFormat="1" x14ac:dyDescent="0.25">
      <c r="A19" s="261" t="s">
        <v>56</v>
      </c>
      <c r="B19" s="262"/>
      <c r="C19" s="245" t="str">
        <f t="shared" ref="C19:D20" si="0">C15</f>
        <v>Solid Dairy Manure</v>
      </c>
      <c r="D19" s="246">
        <f>D15</f>
        <v>16.173970738346373</v>
      </c>
      <c r="E19" s="246">
        <f>E15*((100-G19)/100)</f>
        <v>10.076301190904443</v>
      </c>
      <c r="F19" s="247">
        <f>F15*((100-G19)/100)</f>
        <v>0.62479883370884381</v>
      </c>
      <c r="G19" s="248">
        <f>IF(K2=2,G15,H15)</f>
        <v>76</v>
      </c>
      <c r="K19" s="249" t="s">
        <v>51</v>
      </c>
    </row>
    <row r="20" spans="1:12" s="249" customFormat="1" x14ac:dyDescent="0.25">
      <c r="A20" s="263" t="s">
        <v>57</v>
      </c>
      <c r="B20" s="264"/>
      <c r="C20" s="251" t="str">
        <f t="shared" si="0"/>
        <v>Non-Legume Hay (Fresh Cut)</v>
      </c>
      <c r="D20" s="252">
        <f t="shared" si="0"/>
        <v>37.776666666666671</v>
      </c>
      <c r="E20" s="252">
        <f>E16*((100-G20)/100)</f>
        <v>37.824999999999996</v>
      </c>
      <c r="F20" s="253">
        <f>F16*((100-G20)/100)</f>
        <v>1.0464063715277778</v>
      </c>
      <c r="G20" s="254">
        <f>IF(K2=2,G16,H16)</f>
        <v>15</v>
      </c>
      <c r="K20" s="249" t="s">
        <v>150</v>
      </c>
    </row>
    <row r="21" spans="1:12" x14ac:dyDescent="0.25">
      <c r="H21" s="249"/>
    </row>
    <row r="22" spans="1:12" x14ac:dyDescent="0.25">
      <c r="H22" s="249"/>
    </row>
    <row r="23" spans="1:12" s="266" customFormat="1" ht="15.75" x14ac:dyDescent="0.25">
      <c r="A23" s="265" t="s">
        <v>104</v>
      </c>
      <c r="B23" s="265"/>
      <c r="I23" s="267"/>
    </row>
    <row r="24" spans="1:12" x14ac:dyDescent="0.25">
      <c r="A24" s="228" t="s">
        <v>62</v>
      </c>
      <c r="G24" s="228"/>
      <c r="H24" s="228"/>
      <c r="I24" s="229"/>
      <c r="J24" s="228"/>
    </row>
    <row r="25" spans="1:12" x14ac:dyDescent="0.25">
      <c r="A25" s="268" t="s">
        <v>67</v>
      </c>
      <c r="B25" s="269"/>
      <c r="C25" s="218">
        <v>30</v>
      </c>
      <c r="E25" s="270" t="s">
        <v>60</v>
      </c>
      <c r="F25" s="271" t="s">
        <v>61</v>
      </c>
      <c r="G25" s="270" t="s">
        <v>63</v>
      </c>
      <c r="H25" s="271">
        <v>30</v>
      </c>
    </row>
    <row r="27" spans="1:12" x14ac:dyDescent="0.25">
      <c r="A27" s="228" t="s">
        <v>156</v>
      </c>
      <c r="B27" s="224"/>
      <c r="H27" s="225"/>
      <c r="I27" s="224"/>
    </row>
    <row r="28" spans="1:12" x14ac:dyDescent="0.25">
      <c r="A28" s="239"/>
      <c r="B28" s="269"/>
      <c r="C28" s="272" t="s">
        <v>47</v>
      </c>
      <c r="D28" s="273" t="s">
        <v>48</v>
      </c>
      <c r="E28" s="274" t="str">
        <f>CONCATENATE("To use all ", C15, " add ", ROUND(I15*D29,0), " kg ",C16)</f>
        <v>To use all Solid Dairy Manure add 56000 kg Non-Legume Hay (Fresh Cut)</v>
      </c>
    </row>
    <row r="29" spans="1:12" hidden="1" x14ac:dyDescent="0.25">
      <c r="A29" s="239"/>
      <c r="B29" s="269"/>
      <c r="C29" s="272">
        <f>ROUND(((E20/100)-(C25*(F20/100)))/((C25*(F19/100))-(E19/100)),1)</f>
        <v>0.7</v>
      </c>
      <c r="D29" s="273">
        <f>ROUND(1/C29,1)</f>
        <v>1.4</v>
      </c>
      <c r="E29" s="274"/>
      <c r="K29" s="224" t="s">
        <v>215</v>
      </c>
    </row>
    <row r="30" spans="1:12" x14ac:dyDescent="0.25">
      <c r="A30" s="239" t="s">
        <v>202</v>
      </c>
      <c r="B30" s="269"/>
      <c r="C30" s="275" t="str">
        <f>CONCATENATE(C29,":1")</f>
        <v>0.7:1</v>
      </c>
      <c r="D30" s="276" t="str">
        <f>CONCATENATE(D29,":1")</f>
        <v>1.4:1</v>
      </c>
      <c r="E30" s="274" t="str">
        <f>CONCATENATE("To use all ", C16, " add ", ROUND(I16*C29,0),  " kg ",C15)</f>
        <v>To use all Non-Legume Hay (Fresh Cut) add 6874 kg Solid Dairy Manure</v>
      </c>
      <c r="K30" s="224" t="s">
        <v>52</v>
      </c>
    </row>
    <row r="31" spans="1:12" x14ac:dyDescent="0.25">
      <c r="A31" s="277" t="s">
        <v>245</v>
      </c>
      <c r="B31" s="278"/>
      <c r="C31" s="279" t="str">
        <f>CONCATENATE(ROUND((C29/J15)/(1/J16),1),":", (1/J16)/(1/J16))</f>
        <v>0.2:1</v>
      </c>
      <c r="D31" s="276" t="str">
        <f>CONCATENATE(ROUND( 1/((C29/J15)/(1/J16)),1),":1")</f>
        <v>4.7:1</v>
      </c>
      <c r="E31" s="274"/>
    </row>
    <row r="32" spans="1:12" s="274" customFormat="1" x14ac:dyDescent="0.25">
      <c r="A32" s="277" t="s">
        <v>58</v>
      </c>
      <c r="B32" s="278"/>
      <c r="C32" s="280">
        <f>100*((C29*(G19/100))+(1*(G20/100)))/(C29+1)</f>
        <v>40.117647058823522</v>
      </c>
      <c r="D32" s="281"/>
      <c r="E32" s="224"/>
      <c r="F32" s="224"/>
      <c r="G32" s="224"/>
      <c r="H32" s="224"/>
      <c r="I32" s="225"/>
      <c r="J32" s="224"/>
      <c r="K32" s="224" t="s">
        <v>216</v>
      </c>
      <c r="L32" s="224"/>
    </row>
    <row r="33" spans="1:11" s="274" customFormat="1" x14ac:dyDescent="0.25">
      <c r="I33" s="282"/>
    </row>
    <row r="34" spans="1:11" s="274" customFormat="1" x14ac:dyDescent="0.25">
      <c r="I34" s="282"/>
    </row>
    <row r="35" spans="1:11" s="266" customFormat="1" ht="15.75" x14ac:dyDescent="0.25">
      <c r="A35" s="265" t="s">
        <v>103</v>
      </c>
      <c r="B35" s="265"/>
      <c r="I35" s="267"/>
    </row>
    <row r="36" spans="1:11" x14ac:dyDescent="0.25">
      <c r="A36" s="228" t="s">
        <v>41</v>
      </c>
    </row>
    <row r="37" spans="1:11" x14ac:dyDescent="0.25">
      <c r="A37" s="268" t="s">
        <v>69</v>
      </c>
      <c r="B37" s="269"/>
      <c r="C37" s="219">
        <v>55</v>
      </c>
      <c r="E37" s="270" t="s">
        <v>60</v>
      </c>
      <c r="F37" s="271" t="s">
        <v>64</v>
      </c>
      <c r="G37" s="270" t="s">
        <v>65</v>
      </c>
      <c r="H37" s="283">
        <v>0.55000000000000004</v>
      </c>
    </row>
    <row r="38" spans="1:11" ht="15.75" customHeight="1" x14ac:dyDescent="0.25">
      <c r="A38" s="241"/>
      <c r="B38" s="240"/>
      <c r="C38" s="284"/>
    </row>
    <row r="39" spans="1:11" x14ac:dyDescent="0.25">
      <c r="A39" s="278" t="s">
        <v>155</v>
      </c>
      <c r="B39" s="285"/>
      <c r="C39" s="285"/>
      <c r="H39" s="225"/>
      <c r="I39" s="224"/>
    </row>
    <row r="40" spans="1:11" x14ac:dyDescent="0.25">
      <c r="A40" s="239"/>
      <c r="B40" s="269"/>
      <c r="C40" s="272" t="s">
        <v>47</v>
      </c>
      <c r="D40" s="273" t="s">
        <v>48</v>
      </c>
      <c r="E40" s="274" t="str">
        <f>CONCATENATE("To use all ", C15, " add ", ROUND(I15*D41,0),  " kg ",C16)</f>
        <v>To use all Solid Dairy Manure add 20000 kg Non-Legume Hay (Fresh Cut)</v>
      </c>
    </row>
    <row r="41" spans="1:11" hidden="1" x14ac:dyDescent="0.25">
      <c r="A41" s="239"/>
      <c r="B41" s="269"/>
      <c r="C41" s="286">
        <f>ROUND((C37-G20)/(G19-C37),1)</f>
        <v>1.9</v>
      </c>
      <c r="D41" s="287">
        <f>ROUND(1/C41,1)</f>
        <v>0.5</v>
      </c>
      <c r="E41" s="274"/>
    </row>
    <row r="42" spans="1:11" x14ac:dyDescent="0.25">
      <c r="A42" s="239" t="s">
        <v>202</v>
      </c>
      <c r="B42" s="269"/>
      <c r="C42" s="275" t="str">
        <f>CONCATENATE(ROUND(C41,2),":1")</f>
        <v>1.9:1</v>
      </c>
      <c r="D42" s="276" t="str">
        <f>CONCATENATE(ROUND(D41,2),":1")</f>
        <v>0.5:1</v>
      </c>
      <c r="E42" s="274" t="str">
        <f>CONCATENATE("To use all ", C16, " add ", ROUND(I16*C41,0),  " kg ",C15)</f>
        <v>To use all Non-Legume Hay (Fresh Cut) add 18658 kg Solid Dairy Manure</v>
      </c>
      <c r="K42" s="224" t="s">
        <v>70</v>
      </c>
    </row>
    <row r="43" spans="1:11" x14ac:dyDescent="0.25">
      <c r="A43" s="277" t="s">
        <v>245</v>
      </c>
      <c r="B43" s="278"/>
      <c r="C43" s="279" t="str">
        <f>CONCATENATE(ROUND((C41/J15)/(1/J16),1),":", (1/J16)/(1/J16))</f>
        <v>0.6:1</v>
      </c>
      <c r="D43" s="276" t="str">
        <f>CONCATENATE(ROUND( 1/((C41/J15)/(1/J16)),1),":1")</f>
        <v>1.7:1</v>
      </c>
      <c r="E43" s="274"/>
    </row>
    <row r="44" spans="1:11" x14ac:dyDescent="0.25">
      <c r="A44" s="277" t="s">
        <v>68</v>
      </c>
      <c r="B44" s="278"/>
      <c r="C44" s="280">
        <f>(C41*(E19/100)+1*(E20/100))/(C41*(F19/100)+1*(F20/100))</f>
        <v>25.506763435053486</v>
      </c>
      <c r="D44" s="281"/>
      <c r="K44" s="288" t="s">
        <v>217</v>
      </c>
    </row>
    <row r="47" spans="1:11" s="266" customFormat="1" ht="32.25" customHeight="1" x14ac:dyDescent="0.25">
      <c r="A47" s="558" t="s">
        <v>247</v>
      </c>
      <c r="B47" s="558"/>
      <c r="C47" s="558"/>
      <c r="D47" s="558"/>
      <c r="E47" s="558"/>
      <c r="F47" s="558"/>
      <c r="G47" s="558"/>
      <c r="H47" s="558"/>
      <c r="I47" s="267"/>
    </row>
  </sheetData>
  <sheetProtection sheet="1" objects="1" scenarios="1" selectLockedCells="1"/>
  <mergeCells count="1">
    <mergeCell ref="A47:H47"/>
  </mergeCells>
  <conditionalFormatting sqref="C32">
    <cfRule type="expression" dxfId="35" priority="19">
      <formula>AND($C$32&gt;45, $C$32&lt;60)</formula>
    </cfRule>
    <cfRule type="expression" dxfId="34" priority="20">
      <formula>OR($C$32&lt;45,$C$32&gt;60)</formula>
    </cfRule>
  </conditionalFormatting>
  <conditionalFormatting sqref="C44">
    <cfRule type="expression" dxfId="33" priority="15">
      <formula>OR($C$44&lt;25,$C$44&gt;40)</formula>
    </cfRule>
    <cfRule type="expression" dxfId="32" priority="16">
      <formula>AND($C$44&gt;=25,$C$44&lt;=40)</formula>
    </cfRule>
  </conditionalFormatting>
  <conditionalFormatting sqref="C30:D31">
    <cfRule type="cellIs" dxfId="31" priority="5" operator="lessThan">
      <formula>0</formula>
    </cfRule>
  </conditionalFormatting>
  <conditionalFormatting sqref="C42:D42">
    <cfRule type="cellIs" dxfId="30" priority="4" operator="lessThan">
      <formula>0</formula>
    </cfRule>
  </conditionalFormatting>
  <conditionalFormatting sqref="C41">
    <cfRule type="cellIs" dxfId="29" priority="3" operator="lessThan">
      <formula>0</formula>
    </cfRule>
  </conditionalFormatting>
  <conditionalFormatting sqref="D41">
    <cfRule type="cellIs" dxfId="28" priority="2" operator="lessThan">
      <formula>0</formula>
    </cfRule>
  </conditionalFormatting>
  <conditionalFormatting sqref="E28:H29">
    <cfRule type="expression" dxfId="27" priority="32">
      <formula>AND($I$15*$D$29&lt;$I$16,$I$15*$D$29&gt;0)</formula>
    </cfRule>
    <cfRule type="expression" dxfId="26" priority="33">
      <formula>OR($I$15*$D$29&gt;$I$16,$I$15*$D$3+$F$29&lt;0)</formula>
    </cfRule>
  </conditionalFormatting>
  <conditionalFormatting sqref="E30:H30">
    <cfRule type="expression" dxfId="25" priority="34">
      <formula>AND($I$16*$C$29&lt;$I$15,$I$16*$C$29&gt;0)</formula>
    </cfRule>
    <cfRule type="expression" dxfId="24" priority="35">
      <formula>OR($I$16*$C$29&gt;$I$15,$I$16*$C$29&lt;0)</formula>
    </cfRule>
  </conditionalFormatting>
  <conditionalFormatting sqref="E40:H41">
    <cfRule type="expression" dxfId="23" priority="36">
      <formula>AND($I$15*$D$41&lt;$I$16,$I$15*$D$41&gt;0)</formula>
    </cfRule>
    <cfRule type="expression" dxfId="22" priority="37">
      <formula>OR($I$15*$D$41&gt;$I$16,$I$15*$D$41&lt;0)</formula>
    </cfRule>
  </conditionalFormatting>
  <conditionalFormatting sqref="E42:H42">
    <cfRule type="expression" dxfId="21" priority="38">
      <formula>AND($I$16*$C$41&lt;$I$15,$I$16*$C$41&gt;0)</formula>
    </cfRule>
    <cfRule type="expression" dxfId="20" priority="39">
      <formula>OR($I$16*$C$41&gt;$I$15,$I$16*$C$41&lt;0)</formula>
    </cfRule>
  </conditionalFormatting>
  <conditionalFormatting sqref="C43:D43">
    <cfRule type="cellIs" dxfId="19" priority="1" operator="lessThan">
      <formula>0</formula>
    </cfRule>
  </conditionalFormatting>
  <pageMargins left="0.70866141732283472" right="0.70866141732283472" top="0.74803149606299213" bottom="0.74803149606299213" header="0.31496062992125984" footer="0.31496062992125984"/>
  <pageSetup scale="72" orientation="landscape" r:id="rId1"/>
  <drawing r:id="rId2"/>
  <legacyDrawing r:id="rId3"/>
  <controls>
    <mc:AlternateContent xmlns:mc="http://schemas.openxmlformats.org/markup-compatibility/2006">
      <mc:Choice Requires="x14">
        <control shapeId="2052" r:id="rId4" name="Label2">
          <controlPr autoLine="0" r:id="rId5">
            <anchor moveWithCells="1">
              <from>
                <xdr:col>0</xdr:col>
                <xdr:colOff>123825</xdr:colOff>
                <xdr:row>8</xdr:row>
                <xdr:rowOff>104775</xdr:rowOff>
              </from>
              <to>
                <xdr:col>0</xdr:col>
                <xdr:colOff>1038225</xdr:colOff>
                <xdr:row>9</xdr:row>
                <xdr:rowOff>142875</xdr:rowOff>
              </to>
            </anchor>
          </controlPr>
        </control>
      </mc:Choice>
      <mc:Fallback>
        <control shapeId="2052" r:id="rId4" name="Label2"/>
      </mc:Fallback>
    </mc:AlternateContent>
    <mc:AlternateContent xmlns:mc="http://schemas.openxmlformats.org/markup-compatibility/2006">
      <mc:Choice Requires="x14">
        <control shapeId="2051" r:id="rId6" name="Label1">
          <controlPr autoLine="0" r:id="rId7">
            <anchor moveWithCells="1">
              <from>
                <xdr:col>3</xdr:col>
                <xdr:colOff>800100</xdr:colOff>
                <xdr:row>8</xdr:row>
                <xdr:rowOff>76200</xdr:rowOff>
              </from>
              <to>
                <xdr:col>4</xdr:col>
                <xdr:colOff>647700</xdr:colOff>
                <xdr:row>9</xdr:row>
                <xdr:rowOff>114300</xdr:rowOff>
              </to>
            </anchor>
          </controlPr>
        </control>
      </mc:Choice>
      <mc:Fallback>
        <control shapeId="2051" r:id="rId6" name="Label1"/>
      </mc:Fallback>
    </mc:AlternateContent>
    <mc:AlternateContent xmlns:mc="http://schemas.openxmlformats.org/markup-compatibility/2006">
      <mc:Choice Requires="x14">
        <control shapeId="2049" r:id="rId8" name="Drop Down 1">
          <controlPr defaultSize="0" autoLine="0" autoPict="0">
            <anchor moveWithCells="1">
              <from>
                <xdr:col>0</xdr:col>
                <xdr:colOff>1152525</xdr:colOff>
                <xdr:row>8</xdr:row>
                <xdr:rowOff>57150</xdr:rowOff>
              </from>
              <to>
                <xdr:col>3</xdr:col>
                <xdr:colOff>381000</xdr:colOff>
                <xdr:row>9</xdr:row>
                <xdr:rowOff>123825</xdr:rowOff>
              </to>
            </anchor>
          </controlPr>
        </control>
      </mc:Choice>
    </mc:AlternateContent>
    <mc:AlternateContent xmlns:mc="http://schemas.openxmlformats.org/markup-compatibility/2006">
      <mc:Choice Requires="x14">
        <control shapeId="2050" r:id="rId9" name="Drop Down 2">
          <controlPr defaultSize="0" autoLine="0" autoPict="0">
            <anchor moveWithCells="1">
              <from>
                <xdr:col>4</xdr:col>
                <xdr:colOff>657225</xdr:colOff>
                <xdr:row>8</xdr:row>
                <xdr:rowOff>47625</xdr:rowOff>
              </from>
              <to>
                <xdr:col>7</xdr:col>
                <xdr:colOff>352425</xdr:colOff>
                <xdr:row>9</xdr:row>
                <xdr:rowOff>114300</xdr:rowOff>
              </to>
            </anchor>
          </controlPr>
        </control>
      </mc:Choice>
    </mc:AlternateContent>
    <mc:AlternateContent xmlns:mc="http://schemas.openxmlformats.org/markup-compatibility/2006">
      <mc:Choice Requires="x14">
        <control shapeId="2053" r:id="rId10" name="Option Button 5">
          <controlPr defaultSize="0" autoFill="0" autoLine="0" autoPict="0">
            <anchor moveWithCells="1">
              <from>
                <xdr:col>7</xdr:col>
                <xdr:colOff>771525</xdr:colOff>
                <xdr:row>12</xdr:row>
                <xdr:rowOff>85725</xdr:rowOff>
              </from>
              <to>
                <xdr:col>7</xdr:col>
                <xdr:colOff>1076325</xdr:colOff>
                <xdr:row>12</xdr:row>
                <xdr:rowOff>304800</xdr:rowOff>
              </to>
            </anchor>
          </controlPr>
        </control>
      </mc:Choice>
    </mc:AlternateContent>
    <mc:AlternateContent xmlns:mc="http://schemas.openxmlformats.org/markup-compatibility/2006">
      <mc:Choice Requires="x14">
        <control shapeId="2054" r:id="rId11" name="Option Button 6">
          <controlPr defaultSize="0" autoFill="0" autoLine="0" autoPict="0">
            <anchor moveWithCells="1">
              <from>
                <xdr:col>6</xdr:col>
                <xdr:colOff>771525</xdr:colOff>
                <xdr:row>12</xdr:row>
                <xdr:rowOff>85725</xdr:rowOff>
              </from>
              <to>
                <xdr:col>6</xdr:col>
                <xdr:colOff>1038225</xdr:colOff>
                <xdr:row>12</xdr:row>
                <xdr:rowOff>304800</xdr:rowOff>
              </to>
            </anchor>
          </controlPr>
        </control>
      </mc:Choice>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K88"/>
  <sheetViews>
    <sheetView showGridLines="0" workbookViewId="0">
      <selection activeCell="B48" sqref="B48"/>
    </sheetView>
  </sheetViews>
  <sheetFormatPr defaultRowHeight="15" x14ac:dyDescent="0.25"/>
  <cols>
    <col min="1" max="1" width="27.42578125" style="2" customWidth="1"/>
    <col min="2" max="2" width="19.7109375" customWidth="1"/>
    <col min="3" max="6" width="16" customWidth="1"/>
    <col min="7" max="7" width="19.140625" customWidth="1"/>
    <col min="8" max="8" width="21.28515625" style="24" customWidth="1"/>
    <col min="9" max="9" width="16.140625" customWidth="1"/>
    <col min="10" max="10" width="16.140625" hidden="1" customWidth="1"/>
    <col min="11" max="11" width="15.42578125" hidden="1" customWidth="1"/>
  </cols>
  <sheetData>
    <row r="1" spans="1:10" s="74" customFormat="1" ht="18.75" x14ac:dyDescent="0.3">
      <c r="A1" s="73" t="s">
        <v>191</v>
      </c>
      <c r="B1" s="73"/>
      <c r="I1" s="75"/>
    </row>
    <row r="3" spans="1:10" s="2" customFormat="1" x14ac:dyDescent="0.25">
      <c r="A3" s="3" t="s">
        <v>73</v>
      </c>
      <c r="B3" s="3"/>
      <c r="C3" s="3"/>
      <c r="J3" s="21" t="s">
        <v>82</v>
      </c>
    </row>
    <row r="4" spans="1:10" s="21" customFormat="1" x14ac:dyDescent="0.25">
      <c r="A4" s="5" t="s">
        <v>81</v>
      </c>
      <c r="B4" s="5"/>
      <c r="C4" s="5"/>
    </row>
    <row r="5" spans="1:10" s="21" customFormat="1" x14ac:dyDescent="0.25">
      <c r="A5" s="4" t="s">
        <v>148</v>
      </c>
      <c r="B5" s="4"/>
      <c r="C5" s="4"/>
    </row>
    <row r="6" spans="1:10" s="21" customFormat="1" x14ac:dyDescent="0.25"/>
    <row r="7" spans="1:10" s="21" customFormat="1" x14ac:dyDescent="0.25"/>
    <row r="8" spans="1:10" s="76" customFormat="1" ht="45" x14ac:dyDescent="0.25">
      <c r="A8" s="76" t="s">
        <v>153</v>
      </c>
      <c r="G8" s="187" t="s">
        <v>246</v>
      </c>
      <c r="H8" s="188" t="s">
        <v>256</v>
      </c>
    </row>
    <row r="9" spans="1:10" s="2" customFormat="1" ht="17.25" x14ac:dyDescent="0.25">
      <c r="A9" s="9" t="s">
        <v>66</v>
      </c>
      <c r="B9" s="7" t="s">
        <v>45</v>
      </c>
      <c r="C9" s="7" t="s">
        <v>40</v>
      </c>
      <c r="D9" s="7" t="s">
        <v>44</v>
      </c>
      <c r="E9" s="7" t="s">
        <v>43</v>
      </c>
      <c r="F9" s="7" t="s">
        <v>42</v>
      </c>
      <c r="G9" s="99" t="s">
        <v>204</v>
      </c>
      <c r="H9" s="99" t="s">
        <v>99</v>
      </c>
      <c r="J9" t="s">
        <v>71</v>
      </c>
    </row>
    <row r="10" spans="1:10" x14ac:dyDescent="0.25">
      <c r="A10" s="132" t="s">
        <v>38</v>
      </c>
      <c r="B10" s="291" t="s">
        <v>8</v>
      </c>
      <c r="C10" s="292">
        <v>15</v>
      </c>
      <c r="D10" s="292">
        <v>43.4</v>
      </c>
      <c r="E10" s="293">
        <v>3.1</v>
      </c>
      <c r="F10" s="294">
        <v>78.8</v>
      </c>
      <c r="G10" s="295">
        <v>0.85</v>
      </c>
      <c r="H10" s="296">
        <v>108000</v>
      </c>
      <c r="J10" t="s">
        <v>72</v>
      </c>
    </row>
    <row r="11" spans="1:10" x14ac:dyDescent="0.25">
      <c r="A11" s="133" t="s">
        <v>39</v>
      </c>
      <c r="B11" s="297" t="s">
        <v>269</v>
      </c>
      <c r="C11" s="298">
        <v>104</v>
      </c>
      <c r="D11" s="298">
        <v>49</v>
      </c>
      <c r="E11" s="299">
        <v>2.2999999999999998</v>
      </c>
      <c r="F11" s="300">
        <v>14.3</v>
      </c>
      <c r="G11" s="301">
        <v>0.26</v>
      </c>
      <c r="H11" s="302">
        <v>30000</v>
      </c>
    </row>
    <row r="12" spans="1:10" x14ac:dyDescent="0.25">
      <c r="A12" s="153"/>
      <c r="B12" s="154"/>
      <c r="C12" s="154"/>
      <c r="D12" s="154"/>
      <c r="E12" s="155"/>
      <c r="F12" s="154"/>
      <c r="H12" s="154"/>
    </row>
    <row r="13" spans="1:10" x14ac:dyDescent="0.25">
      <c r="A13" s="9" t="s">
        <v>49</v>
      </c>
      <c r="B13" s="47" t="s">
        <v>45</v>
      </c>
      <c r="C13" s="7" t="s">
        <v>40</v>
      </c>
      <c r="D13" s="7" t="s">
        <v>55</v>
      </c>
      <c r="E13" s="7" t="s">
        <v>54</v>
      </c>
      <c r="F13" s="8" t="s">
        <v>42</v>
      </c>
      <c r="H13" s="22"/>
    </row>
    <row r="14" spans="1:10" x14ac:dyDescent="0.25">
      <c r="A14" s="10" t="s">
        <v>56</v>
      </c>
      <c r="B14" s="130" t="str">
        <f t="shared" ref="B14:C15" si="0">B10</f>
        <v>Solid Dairy Manure</v>
      </c>
      <c r="C14" s="139">
        <f t="shared" si="0"/>
        <v>15</v>
      </c>
      <c r="D14" s="157">
        <f>D10*((100-F10)/100)</f>
        <v>9.200800000000001</v>
      </c>
      <c r="E14" s="139">
        <f>E10*((100-F10)/100)</f>
        <v>0.65720000000000012</v>
      </c>
      <c r="F14" s="159">
        <f>F10</f>
        <v>78.8</v>
      </c>
      <c r="H14" s="23"/>
      <c r="J14" t="s">
        <v>51</v>
      </c>
    </row>
    <row r="15" spans="1:10" x14ac:dyDescent="0.25">
      <c r="A15" s="11" t="s">
        <v>57</v>
      </c>
      <c r="B15" s="131" t="str">
        <f t="shared" si="0"/>
        <v>Bale</v>
      </c>
      <c r="C15" s="140">
        <f t="shared" si="0"/>
        <v>104</v>
      </c>
      <c r="D15" s="158">
        <f>D11*((100-F11)/100)</f>
        <v>41.993000000000002</v>
      </c>
      <c r="E15" s="140">
        <f>E11*((100-F11)/100)</f>
        <v>1.9710999999999999</v>
      </c>
      <c r="F15" s="160">
        <f>F11</f>
        <v>14.3</v>
      </c>
      <c r="H15" s="23"/>
      <c r="I15" s="23"/>
      <c r="J15" t="s">
        <v>150</v>
      </c>
    </row>
    <row r="18" spans="1:11" s="71" customFormat="1" ht="15.75" x14ac:dyDescent="0.25">
      <c r="A18" s="70" t="s">
        <v>154</v>
      </c>
      <c r="B18" s="70"/>
      <c r="I18" s="72"/>
    </row>
    <row r="19" spans="1:11" x14ac:dyDescent="0.25">
      <c r="A19" s="2" t="s">
        <v>62</v>
      </c>
      <c r="F19" s="2"/>
      <c r="G19" s="2"/>
      <c r="H19" s="21"/>
      <c r="I19" s="2"/>
    </row>
    <row r="20" spans="1:11" x14ac:dyDescent="0.25">
      <c r="A20" s="12" t="s">
        <v>67</v>
      </c>
      <c r="B20" s="218">
        <v>24</v>
      </c>
      <c r="D20" s="119" t="s">
        <v>60</v>
      </c>
      <c r="E20" s="118" t="s">
        <v>61</v>
      </c>
      <c r="F20" s="119" t="s">
        <v>63</v>
      </c>
      <c r="G20" s="118" t="s">
        <v>184</v>
      </c>
    </row>
    <row r="21" spans="1:11" x14ac:dyDescent="0.25">
      <c r="A21" s="129"/>
      <c r="B21" s="129"/>
      <c r="D21" s="119"/>
      <c r="E21" s="118"/>
      <c r="F21" s="119"/>
      <c r="G21" s="118"/>
    </row>
    <row r="22" spans="1:11" x14ac:dyDescent="0.25">
      <c r="A22" s="2" t="s">
        <v>156</v>
      </c>
    </row>
    <row r="23" spans="1:11" ht="14.25" customHeight="1" x14ac:dyDescent="0.25">
      <c r="A23" s="9"/>
      <c r="B23" s="14" t="s">
        <v>47</v>
      </c>
      <c r="C23" s="15" t="s">
        <v>48</v>
      </c>
      <c r="D23" s="6" t="str">
        <f>CONCATENATE("To use all ", B10, " add ", ROUND(H10/B24,0), " kg ",B11)</f>
        <v>To use all Solid Dairy Manure add -135000 kg Bale</v>
      </c>
    </row>
    <row r="24" spans="1:11" hidden="1" x14ac:dyDescent="0.25">
      <c r="A24" s="9"/>
      <c r="B24" s="14">
        <f>ROUND(((D15/100)-(B20*(E15/100)))/((B20*(E14/100))-(D14/100)),1)</f>
        <v>-0.8</v>
      </c>
      <c r="C24" s="15">
        <f>ROUND(1/(((D15/100)-(B20*(E15/100)))/((B20*(E14/100))-(D14/100))),1)</f>
        <v>-1.2</v>
      </c>
    </row>
    <row r="25" spans="1:11" x14ac:dyDescent="0.25">
      <c r="A25" s="9" t="s">
        <v>202</v>
      </c>
      <c r="B25" s="18" t="str">
        <f>CONCATENATE(B24,":1")</f>
        <v>-0.8:1</v>
      </c>
      <c r="C25" s="19" t="str">
        <f>CONCATENATE(C24,":1")</f>
        <v>-1.2:1</v>
      </c>
      <c r="D25" s="6" t="str">
        <f>CONCATENATE("To use all ", B11, " add ", ROUND(H11/C24,0),  " kg ",B10)</f>
        <v>To use all Bale add -25000 kg Solid Dairy Manure</v>
      </c>
      <c r="J25" t="s">
        <v>52</v>
      </c>
    </row>
    <row r="26" spans="1:11" x14ac:dyDescent="0.25">
      <c r="A26" s="16" t="s">
        <v>260</v>
      </c>
      <c r="B26" s="17" t="str">
        <f>CONCATENATE(ROUND((B24/G10)/(1/G11),1),":", (1/G11)/(1/G11))</f>
        <v>-0.2:1</v>
      </c>
      <c r="C26" s="19" t="str">
        <f>CONCATENATE(ROUND((C24/G11)/(1/G10),1),":", (1/G10)/(1/G10))</f>
        <v>-3.9:1</v>
      </c>
    </row>
    <row r="27" spans="1:11" s="6" customFormat="1" x14ac:dyDescent="0.25">
      <c r="A27" s="16" t="s">
        <v>58</v>
      </c>
      <c r="B27" s="189">
        <f>100*(B24*F14/100+F15/100)/(B24+1)</f>
        <v>-243.70000000000002</v>
      </c>
      <c r="C27" s="28"/>
      <c r="H27" s="24"/>
      <c r="I27"/>
      <c r="J27" t="s">
        <v>53</v>
      </c>
      <c r="K27"/>
    </row>
    <row r="28" spans="1:11" s="6" customFormat="1" x14ac:dyDescent="0.25">
      <c r="H28" s="25"/>
    </row>
    <row r="30" spans="1:11" s="71" customFormat="1" ht="15.75" x14ac:dyDescent="0.25">
      <c r="A30" s="70" t="s">
        <v>207</v>
      </c>
      <c r="B30" s="70"/>
      <c r="I30" s="72"/>
    </row>
    <row r="31" spans="1:11" x14ac:dyDescent="0.25">
      <c r="A31" s="2" t="s">
        <v>41</v>
      </c>
    </row>
    <row r="32" spans="1:11" x14ac:dyDescent="0.25">
      <c r="A32" s="12" t="s">
        <v>69</v>
      </c>
      <c r="B32" s="219">
        <v>55</v>
      </c>
      <c r="D32" s="119" t="s">
        <v>59</v>
      </c>
      <c r="E32" s="2" t="s">
        <v>64</v>
      </c>
      <c r="F32" s="119" t="s">
        <v>65</v>
      </c>
      <c r="G32" s="120" t="s">
        <v>185</v>
      </c>
    </row>
    <row r="33" spans="1:11" x14ac:dyDescent="0.25">
      <c r="A33" s="47"/>
      <c r="B33" s="135"/>
    </row>
    <row r="34" spans="1:11" x14ac:dyDescent="0.25">
      <c r="A34" s="44" t="s">
        <v>155</v>
      </c>
      <c r="B34" s="34"/>
    </row>
    <row r="35" spans="1:11" x14ac:dyDescent="0.25">
      <c r="A35" s="9"/>
      <c r="B35" s="14" t="s">
        <v>47</v>
      </c>
      <c r="C35" s="15" t="s">
        <v>48</v>
      </c>
      <c r="D35" s="6" t="str">
        <f>CONCATENATE("To use all ", B10, " add ", ROUND(H10/B36,0),  " kg ",B11)</f>
        <v>To use all Solid Dairy Manure add 63529 kg Bale</v>
      </c>
    </row>
    <row r="36" spans="1:11" hidden="1" x14ac:dyDescent="0.25">
      <c r="A36" s="9"/>
      <c r="B36" s="181">
        <f>ROUND((B32-F15)/(F14-B32),1)</f>
        <v>1.7</v>
      </c>
      <c r="C36" s="182">
        <f>ROUND(1/B36,1)</f>
        <v>0.6</v>
      </c>
      <c r="J36" t="s">
        <v>70</v>
      </c>
    </row>
    <row r="37" spans="1:11" x14ac:dyDescent="0.25">
      <c r="A37" s="9" t="s">
        <v>202</v>
      </c>
      <c r="B37" s="18" t="str">
        <f>CONCATENATE(ROUND(B36,2),":1")</f>
        <v>1.7:1</v>
      </c>
      <c r="C37" s="19" t="str">
        <f>CONCATENATE(ROUND(C36,2),":1")</f>
        <v>0.6:1</v>
      </c>
      <c r="D37" s="6" t="str">
        <f>CONCATENATE("To use all ", B11, " add ", ROUND(H11/C36,0),  " kg ",B10)</f>
        <v>To use all Bale add 50000 kg Solid Dairy Manure</v>
      </c>
    </row>
    <row r="38" spans="1:11" x14ac:dyDescent="0.25">
      <c r="A38" s="16" t="s">
        <v>260</v>
      </c>
      <c r="B38" s="17" t="str">
        <f>CONCATENATE(ROUND((B36/G10)/(1/G11),1),":", (1/G11)/(1/G11))</f>
        <v>0.5:1</v>
      </c>
      <c r="C38" s="19" t="str">
        <f>CONCATENATE(ROUND((C36/G11)/(1/G10),1),":", (1/G10)/(1/G10))</f>
        <v>2:1</v>
      </c>
    </row>
    <row r="39" spans="1:11" x14ac:dyDescent="0.25">
      <c r="A39" s="16" t="s">
        <v>68</v>
      </c>
      <c r="B39" s="17">
        <f>(B36*(D14/100)+1*(D15/100))/(B36*(E14/100)+1*(E15/100))</f>
        <v>18.661921938646653</v>
      </c>
      <c r="C39" s="20"/>
      <c r="J39" t="s">
        <v>53</v>
      </c>
    </row>
    <row r="40" spans="1:11" x14ac:dyDescent="0.25">
      <c r="B40" s="180"/>
    </row>
    <row r="42" spans="1:11" s="71" customFormat="1" ht="53.25" customHeight="1" x14ac:dyDescent="0.25">
      <c r="A42" s="557" t="s">
        <v>249</v>
      </c>
      <c r="B42" s="557"/>
      <c r="C42" s="557"/>
      <c r="D42" s="557"/>
      <c r="E42" s="557"/>
      <c r="F42" s="557"/>
      <c r="G42" s="557"/>
      <c r="H42" s="557"/>
      <c r="I42" s="72"/>
    </row>
    <row r="44" spans="1:11" x14ac:dyDescent="0.25">
      <c r="E44" s="559" t="s">
        <v>211</v>
      </c>
      <c r="F44" s="559"/>
      <c r="H44"/>
      <c r="I44" s="24"/>
      <c r="J44">
        <f>2.2*1.2/2.1</f>
        <v>1.2571428571428571</v>
      </c>
    </row>
    <row r="45" spans="1:11" ht="30" x14ac:dyDescent="0.25">
      <c r="A45" s="76" t="s">
        <v>212</v>
      </c>
      <c r="B45" s="76"/>
      <c r="C45" s="76"/>
      <c r="D45" s="76"/>
      <c r="E45" s="168"/>
      <c r="F45" s="168"/>
      <c r="G45" s="187" t="s">
        <v>246</v>
      </c>
      <c r="H45" s="188" t="s">
        <v>256</v>
      </c>
      <c r="I45" s="76"/>
      <c r="K45" s="211">
        <v>2</v>
      </c>
    </row>
    <row r="46" spans="1:11" ht="17.25" x14ac:dyDescent="0.25">
      <c r="A46" s="9" t="s">
        <v>66</v>
      </c>
      <c r="B46" s="7" t="s">
        <v>45</v>
      </c>
      <c r="C46" s="7" t="s">
        <v>40</v>
      </c>
      <c r="D46" s="7" t="s">
        <v>44</v>
      </c>
      <c r="E46" s="7" t="s">
        <v>43</v>
      </c>
      <c r="F46" s="7" t="s">
        <v>42</v>
      </c>
      <c r="G46" s="99" t="s">
        <v>204</v>
      </c>
      <c r="H46" s="99" t="s">
        <v>99</v>
      </c>
      <c r="I46" s="2"/>
    </row>
    <row r="47" spans="1:11" s="166" customFormat="1" ht="30" x14ac:dyDescent="0.25">
      <c r="A47" s="169" t="s">
        <v>189</v>
      </c>
      <c r="B47" s="161" t="str">
        <f>B10 &amp; " + " &amp;B11</f>
        <v>Solid Dairy Manure + Bale</v>
      </c>
      <c r="C47" s="162">
        <f>IF($K$45=1,B20,B39)</f>
        <v>18.661921938646653</v>
      </c>
      <c r="D47" s="163">
        <f>IF($K$45=1,((D14*B24)+D15)/(B24+1),((D14*B36)+D15)/(B36+1))</f>
        <v>21.34605925925926</v>
      </c>
      <c r="E47" s="163">
        <f>IF($K$45=1,((E14*B24)+E15)/(B24+1),((E14*B36)+E15)/(B36+1))</f>
        <v>1.1438296296296295</v>
      </c>
      <c r="F47" s="164">
        <f>IF($K$45=1,B27,B32)</f>
        <v>55</v>
      </c>
      <c r="G47" s="164">
        <f>(G10+G11)/2</f>
        <v>0.55499999999999994</v>
      </c>
      <c r="H47" s="165">
        <f>IF($K$45=1,H10+H10/B24,H10+H10/B36)</f>
        <v>171529.41176470587</v>
      </c>
      <c r="I47" s="167" t="s">
        <v>210</v>
      </c>
    </row>
    <row r="48" spans="1:11" x14ac:dyDescent="0.25">
      <c r="A48" s="133" t="s">
        <v>187</v>
      </c>
      <c r="B48" s="297" t="s">
        <v>186</v>
      </c>
      <c r="C48" s="298">
        <v>350</v>
      </c>
      <c r="D48" s="298">
        <v>3.32</v>
      </c>
      <c r="E48" s="299">
        <v>0.01</v>
      </c>
      <c r="F48" s="300">
        <v>0.1</v>
      </c>
      <c r="G48" s="300">
        <v>1.4</v>
      </c>
      <c r="H48" s="302">
        <v>4000</v>
      </c>
      <c r="I48" s="24"/>
    </row>
    <row r="49" spans="1:9" x14ac:dyDescent="0.25">
      <c r="A49" s="153"/>
      <c r="B49" s="154"/>
      <c r="C49" s="154"/>
      <c r="D49" s="154"/>
      <c r="E49" s="155"/>
      <c r="F49" s="154"/>
      <c r="H49" s="154"/>
      <c r="I49" s="156"/>
    </row>
    <row r="50" spans="1:9" x14ac:dyDescent="0.25">
      <c r="A50" s="9" t="s">
        <v>49</v>
      </c>
      <c r="B50" s="47" t="s">
        <v>45</v>
      </c>
      <c r="C50" s="7" t="s">
        <v>40</v>
      </c>
      <c r="D50" s="7" t="s">
        <v>55</v>
      </c>
      <c r="E50" s="7" t="s">
        <v>54</v>
      </c>
      <c r="F50" s="8" t="s">
        <v>42</v>
      </c>
      <c r="H50" s="22"/>
    </row>
    <row r="51" spans="1:9" s="166" customFormat="1" ht="30" x14ac:dyDescent="0.25">
      <c r="A51" s="169" t="s">
        <v>189</v>
      </c>
      <c r="B51" s="170" t="str">
        <f t="shared" ref="B51:C51" si="1">B47</f>
        <v>Solid Dairy Manure + Bale</v>
      </c>
      <c r="C51" s="163">
        <f t="shared" si="1"/>
        <v>18.661921938646653</v>
      </c>
      <c r="D51" s="171">
        <f>D47*((100-F47)/100)</f>
        <v>9.6057266666666674</v>
      </c>
      <c r="E51" s="163">
        <f>E47*((100-F47)/100)</f>
        <v>0.51472333333333331</v>
      </c>
      <c r="F51" s="172">
        <f>F47</f>
        <v>55</v>
      </c>
      <c r="H51" s="173"/>
    </row>
    <row r="52" spans="1:9" x14ac:dyDescent="0.25">
      <c r="A52" s="11" t="s">
        <v>188</v>
      </c>
      <c r="B52" s="131" t="str">
        <f t="shared" ref="B52:C52" si="2">B48</f>
        <v>Drywall</v>
      </c>
      <c r="C52" s="140">
        <f t="shared" si="2"/>
        <v>350</v>
      </c>
      <c r="D52" s="158">
        <f>D48*((100-F48)/100)</f>
        <v>3.3166800000000003</v>
      </c>
      <c r="E52" s="140">
        <f>E48*((100-F48)/100)</f>
        <v>9.9900000000000006E-3</v>
      </c>
      <c r="F52" s="160">
        <f>F48</f>
        <v>0.1</v>
      </c>
      <c r="H52" s="23"/>
    </row>
    <row r="55" spans="1:9" ht="15.75" x14ac:dyDescent="0.25">
      <c r="A55" s="70" t="s">
        <v>208</v>
      </c>
      <c r="B55" s="70"/>
      <c r="C55" s="71"/>
      <c r="D55" s="71"/>
      <c r="E55" s="71"/>
      <c r="F55" s="71"/>
      <c r="G55" s="71"/>
      <c r="H55" s="71"/>
    </row>
    <row r="56" spans="1:9" x14ac:dyDescent="0.25">
      <c r="A56" s="2" t="s">
        <v>62</v>
      </c>
      <c r="F56" s="2"/>
      <c r="G56" s="2"/>
      <c r="H56" s="21"/>
    </row>
    <row r="57" spans="1:9" x14ac:dyDescent="0.25">
      <c r="A57" s="12" t="s">
        <v>67</v>
      </c>
      <c r="B57" s="218">
        <v>30</v>
      </c>
      <c r="D57" s="119" t="s">
        <v>60</v>
      </c>
      <c r="E57" s="118" t="s">
        <v>61</v>
      </c>
      <c r="F57" s="119" t="s">
        <v>63</v>
      </c>
      <c r="G57" s="118" t="s">
        <v>184</v>
      </c>
    </row>
    <row r="58" spans="1:9" x14ac:dyDescent="0.25">
      <c r="A58" s="129"/>
      <c r="B58" s="129"/>
      <c r="D58" s="119"/>
      <c r="E58" s="118"/>
      <c r="F58" s="119"/>
      <c r="G58" s="118"/>
    </row>
    <row r="59" spans="1:9" x14ac:dyDescent="0.25">
      <c r="A59" s="2" t="s">
        <v>156</v>
      </c>
    </row>
    <row r="60" spans="1:9" x14ac:dyDescent="0.25">
      <c r="A60" s="9" t="s">
        <v>251</v>
      </c>
      <c r="B60" s="184">
        <f>ROUND(((D52/100)-(B57*(E52/100)))/((B57*(E51/100))-(D51/100)),1)</f>
        <v>0.5</v>
      </c>
      <c r="C60" s="6"/>
      <c r="D60" s="6" t="str">
        <f>CONCATENATE("To use all ", B47, " add ", ROUND(H47/B60,0), " kg ",B48)</f>
        <v>To use all Solid Dairy Manure + Bale add 343059 kg Drywall</v>
      </c>
    </row>
    <row r="61" spans="1:9" x14ac:dyDescent="0.25">
      <c r="A61" s="9" t="s">
        <v>252</v>
      </c>
      <c r="B61" s="184">
        <f>ROUND(IF(K45=1,(B60*B24)/(B24+1),(B60*B36)/(B36+1)),1)</f>
        <v>0.3</v>
      </c>
      <c r="D61" s="6" t="str">
        <f>CONCATENATE("To use all ", B48, " add ", ROUND(H48*B60,0),  " kg ",B47)</f>
        <v>To use all Drywall add 2000 kg Solid Dairy Manure + Bale</v>
      </c>
    </row>
    <row r="62" spans="1:9" x14ac:dyDescent="0.25">
      <c r="A62" s="9" t="s">
        <v>253</v>
      </c>
      <c r="B62" s="184">
        <f>ROUND(B60-B61,1)</f>
        <v>0.2</v>
      </c>
    </row>
    <row r="63" spans="1:9" x14ac:dyDescent="0.25">
      <c r="D63" t="s">
        <v>255</v>
      </c>
    </row>
    <row r="64" spans="1:9" x14ac:dyDescent="0.25">
      <c r="A64" s="16"/>
      <c r="B64" s="9" t="s">
        <v>250</v>
      </c>
      <c r="D64" t="s">
        <v>254</v>
      </c>
    </row>
    <row r="65" spans="1:8" x14ac:dyDescent="0.25">
      <c r="A65" s="9" t="s">
        <v>202</v>
      </c>
      <c r="B65" s="185" t="str">
        <f>CONCATENATE(B61,":",B62,":1")</f>
        <v>0.3:0.2:1</v>
      </c>
    </row>
    <row r="66" spans="1:8" x14ac:dyDescent="0.25">
      <c r="A66" s="16" t="s">
        <v>260</v>
      </c>
      <c r="B66" s="185" t="str">
        <f>CONCATENATE(ROUND((B61/G10)/((B62/G11)+(1/G48)),1),":",ROUND((B62/G11)/((B61/G10)+(1/G48)),1),":", ROUND((1/G48)/((B62/G11)+(B61/G10)),1))</f>
        <v>0.2:0.7:0.6</v>
      </c>
    </row>
    <row r="68" spans="1:8" x14ac:dyDescent="0.25">
      <c r="A68" s="9" t="s">
        <v>58</v>
      </c>
      <c r="B68" s="190">
        <f>100*(B60*F47/100+F48/100)/(B60+1)</f>
        <v>18.400000000000002</v>
      </c>
      <c r="C68" s="30"/>
      <c r="D68" s="6"/>
      <c r="E68" s="6"/>
      <c r="F68" s="6"/>
      <c r="G68" s="6"/>
      <c r="H68" s="25"/>
    </row>
    <row r="71" spans="1:8" ht="15.75" x14ac:dyDescent="0.25">
      <c r="A71" s="70" t="s">
        <v>209</v>
      </c>
      <c r="B71" s="70"/>
      <c r="D71" s="71"/>
      <c r="E71" s="71"/>
      <c r="F71" s="71"/>
      <c r="G71" s="71"/>
      <c r="H71" s="71"/>
    </row>
    <row r="72" spans="1:8" x14ac:dyDescent="0.25">
      <c r="A72" s="2" t="s">
        <v>41</v>
      </c>
    </row>
    <row r="73" spans="1:8" x14ac:dyDescent="0.25">
      <c r="A73" s="12" t="s">
        <v>69</v>
      </c>
      <c r="B73" s="219">
        <v>55</v>
      </c>
      <c r="D73" s="119" t="s">
        <v>59</v>
      </c>
      <c r="E73" s="2" t="s">
        <v>64</v>
      </c>
      <c r="F73" s="119" t="s">
        <v>65</v>
      </c>
      <c r="G73" s="120" t="s">
        <v>185</v>
      </c>
    </row>
    <row r="74" spans="1:8" x14ac:dyDescent="0.25">
      <c r="A74" s="47"/>
      <c r="B74" s="135"/>
    </row>
    <row r="75" spans="1:8" x14ac:dyDescent="0.25">
      <c r="A75" s="44" t="s">
        <v>155</v>
      </c>
      <c r="B75" s="34"/>
    </row>
    <row r="76" spans="1:8" x14ac:dyDescent="0.25">
      <c r="A76" s="9" t="s">
        <v>251</v>
      </c>
      <c r="B76" s="186" t="e">
        <f>ROUND((B73-F52)/(F51-B73),1)</f>
        <v>#DIV/0!</v>
      </c>
      <c r="D76" s="6" t="e">
        <f>CONCATENATE("To use all ", B47, " add ", ROUND(H47/B76,0),  " kg ",B48)</f>
        <v>#DIV/0!</v>
      </c>
    </row>
    <row r="77" spans="1:8" x14ac:dyDescent="0.25">
      <c r="A77" s="9" t="s">
        <v>252</v>
      </c>
      <c r="B77" s="186" t="e">
        <f>ROUND(IF(K45=1,(B76*B24)/(B24+1),(B76*B36)/(B36+1)),1)</f>
        <v>#DIV/0!</v>
      </c>
      <c r="D77" s="6" t="e">
        <f>CONCATENATE("To use all ", B48, " add ", ROUND(H48*B76,0),  " kg ",B47)</f>
        <v>#DIV/0!</v>
      </c>
    </row>
    <row r="78" spans="1:8" x14ac:dyDescent="0.25">
      <c r="A78" s="9" t="s">
        <v>253</v>
      </c>
      <c r="B78" s="186" t="e">
        <f>ROUND(B76-B77,1)</f>
        <v>#DIV/0!</v>
      </c>
    </row>
    <row r="79" spans="1:8" x14ac:dyDescent="0.25">
      <c r="A79" s="129"/>
      <c r="D79" t="s">
        <v>255</v>
      </c>
    </row>
    <row r="80" spans="1:8" x14ac:dyDescent="0.25">
      <c r="A80" s="16"/>
      <c r="B80" s="9" t="s">
        <v>250</v>
      </c>
      <c r="D80" t="s">
        <v>254</v>
      </c>
    </row>
    <row r="81" spans="1:8" ht="15.75" x14ac:dyDescent="0.25">
      <c r="A81" s="9" t="s">
        <v>202</v>
      </c>
      <c r="B81" s="185" t="e">
        <f>CONCATENATE(B77,":",B78,":1")</f>
        <v>#DIV/0!</v>
      </c>
      <c r="C81" s="71"/>
    </row>
    <row r="82" spans="1:8" x14ac:dyDescent="0.25">
      <c r="A82" s="16" t="s">
        <v>260</v>
      </c>
      <c r="B82" s="185" t="e">
        <f>CONCATENATE(ROUND((B77/G10)/((B78/G11)+(1/G48)),1),":",ROUND((B78/G11)/((B77/G10)+(1/G48)),1),":", ROUND((1/G48)/((B78/G11)+(B77/G10)),1))</f>
        <v>#DIV/0!</v>
      </c>
    </row>
    <row r="83" spans="1:8" x14ac:dyDescent="0.25">
      <c r="A83" s="129"/>
      <c r="B83" s="183"/>
    </row>
    <row r="84" spans="1:8" x14ac:dyDescent="0.25">
      <c r="A84" s="9" t="s">
        <v>68</v>
      </c>
      <c r="B84" s="185" t="e">
        <f>(B76*D51+D52)/(B76*E51+E52)</f>
        <v>#DIV/0!</v>
      </c>
    </row>
    <row r="85" spans="1:8" x14ac:dyDescent="0.25">
      <c r="C85" s="30"/>
    </row>
    <row r="88" spans="1:8" ht="48.75" customHeight="1" x14ac:dyDescent="0.25">
      <c r="A88" s="557" t="s">
        <v>257</v>
      </c>
      <c r="B88" s="557"/>
      <c r="C88" s="557"/>
      <c r="D88" s="557"/>
      <c r="E88" s="557"/>
      <c r="F88" s="557"/>
      <c r="G88" s="557"/>
      <c r="H88" s="557"/>
    </row>
  </sheetData>
  <sheetProtection sheet="1" objects="1" scenarios="1" selectLockedCells="1"/>
  <mergeCells count="3">
    <mergeCell ref="A42:H42"/>
    <mergeCell ref="A88:H88"/>
    <mergeCell ref="E44:F44"/>
  </mergeCells>
  <conditionalFormatting sqref="B39">
    <cfRule type="expression" dxfId="18" priority="32">
      <formula>OR($B$39&lt;25,$B$39&gt;40)</formula>
    </cfRule>
    <cfRule type="expression" dxfId="17" priority="33">
      <formula>AND($B$39&gt;=25,$B$39&lt;=40)</formula>
    </cfRule>
  </conditionalFormatting>
  <conditionalFormatting sqref="B27">
    <cfRule type="expression" dxfId="16" priority="22" stopIfTrue="1">
      <formula>AND($B$27&gt;45, $B$27&lt;60)</formula>
    </cfRule>
    <cfRule type="expression" dxfId="15" priority="23">
      <formula>OR($B$28&lt;45,$B$28&gt;60)</formula>
    </cfRule>
  </conditionalFormatting>
  <conditionalFormatting sqref="B84">
    <cfRule type="expression" dxfId="14" priority="16">
      <formula>OR($B$84&lt;25,$B$84&gt;40)</formula>
    </cfRule>
    <cfRule type="expression" dxfId="13" priority="17">
      <formula>AND($B$84&gt;=25,$B$84&lt;=40)</formula>
    </cfRule>
  </conditionalFormatting>
  <conditionalFormatting sqref="B68">
    <cfRule type="expression" dxfId="12" priority="10">
      <formula>AND($B$68&gt;45, $B$68&lt;60)</formula>
    </cfRule>
    <cfRule type="expression" dxfId="11" priority="11">
      <formula>OR($B$68&lt;45,$B$68&gt;60)</formula>
    </cfRule>
  </conditionalFormatting>
  <conditionalFormatting sqref="D35:G35 D76:G76">
    <cfRule type="expression" dxfId="10" priority="42" stopIfTrue="1">
      <formula>AND($H$10*$C$36&lt;$H$11,$H$10*$C$36&gt;0)</formula>
    </cfRule>
    <cfRule type="expression" dxfId="9" priority="43">
      <formula>OR($H$10*$C$36&gt;$H$11,$H$10*$C$36&lt;0)</formula>
    </cfRule>
  </conditionalFormatting>
  <conditionalFormatting sqref="D37:G37 D77:G77">
    <cfRule type="expression" dxfId="8" priority="44" stopIfTrue="1">
      <formula>AND($H$11*$B$36&lt;$H$10,$H$11*$B$36&gt;0)</formula>
    </cfRule>
    <cfRule type="expression" dxfId="7" priority="45">
      <formula>OR($H$11*$B$36&gt;$H$10,$H$11*$B$36&lt;0)</formula>
    </cfRule>
  </conditionalFormatting>
  <conditionalFormatting sqref="D23:G23 D60:G60">
    <cfRule type="expression" dxfId="6" priority="46">
      <formula>$H$10/$B$24&lt;=$H$11</formula>
    </cfRule>
    <cfRule type="expression" dxfId="5" priority="47">
      <formula>$H$10/$B$24&gt;$H$11</formula>
    </cfRule>
  </conditionalFormatting>
  <conditionalFormatting sqref="D25:G25 D61:G61">
    <cfRule type="expression" dxfId="4" priority="48">
      <formula>$B$24*$H$11&lt;=$H$10</formula>
    </cfRule>
    <cfRule type="expression" dxfId="3" priority="49">
      <formula>$B$24*$H$11&gt;$H$10</formula>
    </cfRule>
  </conditionalFormatting>
  <conditionalFormatting sqref="B60:B62 B65:B66">
    <cfRule type="expression" dxfId="2" priority="50">
      <formula>$B$60&lt;=0</formula>
    </cfRule>
  </conditionalFormatting>
  <conditionalFormatting sqref="B76:B78">
    <cfRule type="expression" dxfId="1" priority="51">
      <formula>$B$76&lt;=0</formula>
    </cfRule>
  </conditionalFormatting>
  <conditionalFormatting sqref="B81:B82">
    <cfRule type="expression" dxfId="0" priority="1">
      <formula>$B$76&lt;=0</formula>
    </cfRule>
  </conditionalFormatting>
  <pageMargins left="0.70866141732283472" right="0.70866141732283472" top="0.74803149606299213" bottom="0.74803149606299213" header="0.31496062992125984" footer="0.31496062992125984"/>
  <pageSetup scale="50"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ltText="C:N">
                <anchor moveWithCells="1">
                  <from>
                    <xdr:col>4</xdr:col>
                    <xdr:colOff>276225</xdr:colOff>
                    <xdr:row>43</xdr:row>
                    <xdr:rowOff>133350</xdr:rowOff>
                  </from>
                  <to>
                    <xdr:col>5</xdr:col>
                    <xdr:colOff>28575</xdr:colOff>
                    <xdr:row>45</xdr:row>
                    <xdr:rowOff>66675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5</xdr:col>
                    <xdr:colOff>95250</xdr:colOff>
                    <xdr:row>43</xdr:row>
                    <xdr:rowOff>133350</xdr:rowOff>
                  </from>
                  <to>
                    <xdr:col>5</xdr:col>
                    <xdr:colOff>914400</xdr:colOff>
                    <xdr:row>45</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28"/>
  <sheetViews>
    <sheetView showGridLines="0" workbookViewId="0">
      <selection activeCell="D10" sqref="D10"/>
    </sheetView>
  </sheetViews>
  <sheetFormatPr defaultRowHeight="15" x14ac:dyDescent="0.25"/>
  <cols>
    <col min="1" max="1" width="18.28515625" customWidth="1"/>
    <col min="2" max="2" width="12.42578125" customWidth="1"/>
    <col min="3" max="3" width="18.28515625" customWidth="1"/>
    <col min="4" max="4" width="18.85546875" customWidth="1"/>
    <col min="5" max="5" width="13" customWidth="1"/>
    <col min="8" max="9" width="23.85546875" customWidth="1"/>
    <col min="11" max="12" width="23.42578125" customWidth="1"/>
  </cols>
  <sheetData>
    <row r="1" spans="1:6" ht="18.75" x14ac:dyDescent="0.3">
      <c r="A1" s="73" t="s">
        <v>178</v>
      </c>
    </row>
    <row r="3" spans="1:6" x14ac:dyDescent="0.25">
      <c r="A3" s="84" t="s">
        <v>111</v>
      </c>
      <c r="B3" s="84"/>
    </row>
    <row r="4" spans="1:6" x14ac:dyDescent="0.25">
      <c r="A4" s="85" t="s">
        <v>107</v>
      </c>
      <c r="B4" s="86"/>
    </row>
    <row r="6" spans="1:6" s="70" customFormat="1" ht="15.75" x14ac:dyDescent="0.25">
      <c r="A6" s="70" t="s">
        <v>159</v>
      </c>
    </row>
    <row r="7" spans="1:6" x14ac:dyDescent="0.25">
      <c r="A7" s="87" t="s">
        <v>108</v>
      </c>
      <c r="B7" s="88" t="s">
        <v>109</v>
      </c>
      <c r="C7" s="88" t="s">
        <v>110</v>
      </c>
      <c r="D7" s="88" t="s">
        <v>117</v>
      </c>
      <c r="E7" s="89" t="s">
        <v>42</v>
      </c>
    </row>
    <row r="8" spans="1:6" x14ac:dyDescent="0.25">
      <c r="A8" s="121">
        <v>1</v>
      </c>
      <c r="B8" s="292">
        <v>5</v>
      </c>
      <c r="C8" s="292">
        <v>20</v>
      </c>
      <c r="D8" s="294">
        <v>13</v>
      </c>
      <c r="E8" s="126">
        <f>100*(C8-D8)/(C8-B8)</f>
        <v>46.666666666666664</v>
      </c>
    </row>
    <row r="9" spans="1:6" x14ac:dyDescent="0.25">
      <c r="A9" s="122">
        <v>2</v>
      </c>
      <c r="B9" s="303">
        <v>5</v>
      </c>
      <c r="C9" s="303">
        <v>23</v>
      </c>
      <c r="D9" s="304">
        <v>15</v>
      </c>
      <c r="E9" s="127">
        <f t="shared" ref="E9:E12" si="0">100*(C9-D9)/(C9-B9)</f>
        <v>44.444444444444443</v>
      </c>
    </row>
    <row r="10" spans="1:6" x14ac:dyDescent="0.25">
      <c r="A10" s="122">
        <v>3</v>
      </c>
      <c r="B10" s="303">
        <v>5</v>
      </c>
      <c r="C10" s="303">
        <v>25</v>
      </c>
      <c r="D10" s="304">
        <v>12</v>
      </c>
      <c r="E10" s="127">
        <f t="shared" si="0"/>
        <v>65</v>
      </c>
    </row>
    <row r="11" spans="1:6" x14ac:dyDescent="0.25">
      <c r="A11" s="122">
        <v>4</v>
      </c>
      <c r="B11" s="303">
        <v>5</v>
      </c>
      <c r="C11" s="303">
        <v>21</v>
      </c>
      <c r="D11" s="304">
        <v>14</v>
      </c>
      <c r="E11" s="127">
        <f t="shared" si="0"/>
        <v>43.75</v>
      </c>
    </row>
    <row r="12" spans="1:6" x14ac:dyDescent="0.25">
      <c r="A12" s="123">
        <v>5</v>
      </c>
      <c r="B12" s="298">
        <v>5</v>
      </c>
      <c r="C12" s="298">
        <v>20</v>
      </c>
      <c r="D12" s="300">
        <v>13</v>
      </c>
      <c r="E12" s="128">
        <f t="shared" si="0"/>
        <v>46.666666666666664</v>
      </c>
    </row>
    <row r="13" spans="1:6" x14ac:dyDescent="0.25">
      <c r="C13" s="560" t="s">
        <v>169</v>
      </c>
      <c r="D13" s="561"/>
      <c r="E13" s="143">
        <f>AVERAGE(E8:E12)</f>
        <v>49.305555555555557</v>
      </c>
      <c r="F13" t="s">
        <v>179</v>
      </c>
    </row>
    <row r="14" spans="1:6" x14ac:dyDescent="0.25">
      <c r="C14" s="560" t="s">
        <v>170</v>
      </c>
      <c r="D14" s="561"/>
      <c r="E14" s="143">
        <f>(0.9515*E13) + 5.5497</f>
        <v>52.463936111111117</v>
      </c>
    </row>
    <row r="16" spans="1:6" s="73" customFormat="1" ht="18.75" x14ac:dyDescent="0.3">
      <c r="A16" s="73" t="s">
        <v>112</v>
      </c>
    </row>
    <row r="18" spans="1:3" x14ac:dyDescent="0.25">
      <c r="A18" s="84" t="s">
        <v>111</v>
      </c>
      <c r="B18" s="84"/>
    </row>
    <row r="19" spans="1:3" x14ac:dyDescent="0.25">
      <c r="A19" s="85" t="s">
        <v>107</v>
      </c>
      <c r="B19" s="86"/>
    </row>
    <row r="20" spans="1:3" x14ac:dyDescent="0.25">
      <c r="A20" s="90"/>
      <c r="B20" s="24"/>
    </row>
    <row r="21" spans="1:3" s="70" customFormat="1" ht="15.75" x14ac:dyDescent="0.25">
      <c r="A21" s="70" t="s">
        <v>114</v>
      </c>
    </row>
    <row r="22" spans="1:3" x14ac:dyDescent="0.25">
      <c r="A22" s="564" t="s">
        <v>115</v>
      </c>
      <c r="B22" s="565"/>
      <c r="C22" s="305">
        <v>0</v>
      </c>
    </row>
    <row r="23" spans="1:3" x14ac:dyDescent="0.25">
      <c r="A23" s="566" t="s">
        <v>116</v>
      </c>
      <c r="B23" s="567"/>
      <c r="C23" s="306">
        <v>21</v>
      </c>
    </row>
    <row r="24" spans="1:3" x14ac:dyDescent="0.25">
      <c r="A24" s="566" t="s">
        <v>265</v>
      </c>
      <c r="B24" s="567"/>
      <c r="C24" s="306">
        <v>5.93</v>
      </c>
    </row>
    <row r="25" spans="1:3" x14ac:dyDescent="0.25">
      <c r="A25" s="562" t="s">
        <v>113</v>
      </c>
      <c r="B25" s="563"/>
      <c r="C25" s="307">
        <v>46.3</v>
      </c>
    </row>
    <row r="27" spans="1:3" ht="17.25" x14ac:dyDescent="0.25">
      <c r="A27" s="564" t="s">
        <v>158</v>
      </c>
      <c r="B27" s="565"/>
      <c r="C27" s="124">
        <f>1000*(C24-C22)/(C23-C22)</f>
        <v>282.38095238095241</v>
      </c>
    </row>
    <row r="28" spans="1:3" ht="17.25" x14ac:dyDescent="0.25">
      <c r="A28" s="562" t="s">
        <v>94</v>
      </c>
      <c r="B28" s="563"/>
      <c r="C28" s="125">
        <f>(C27*(100-C25))/100</f>
        <v>151.63857142857145</v>
      </c>
    </row>
  </sheetData>
  <sheetProtection sheet="1" objects="1" scenarios="1" selectLockedCells="1"/>
  <mergeCells count="8">
    <mergeCell ref="C13:D13"/>
    <mergeCell ref="C14:D14"/>
    <mergeCell ref="A28:B28"/>
    <mergeCell ref="A22:B22"/>
    <mergeCell ref="A23:B23"/>
    <mergeCell ref="A24:B24"/>
    <mergeCell ref="A25:B25"/>
    <mergeCell ref="A27:B27"/>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74"/>
  <sheetViews>
    <sheetView showGridLines="0" workbookViewId="0">
      <selection activeCell="A24" sqref="A24"/>
    </sheetView>
  </sheetViews>
  <sheetFormatPr defaultRowHeight="15" x14ac:dyDescent="0.25"/>
  <cols>
    <col min="1" max="1" width="23.5703125" customWidth="1"/>
    <col min="2" max="2" width="22.85546875" customWidth="1"/>
    <col min="3" max="3" width="23.140625" customWidth="1"/>
    <col min="4" max="4" width="23.28515625" style="27" customWidth="1"/>
    <col min="5" max="5" width="22.140625" customWidth="1"/>
    <col min="6" max="6" width="33.85546875" customWidth="1"/>
    <col min="7" max="9" width="20.140625" customWidth="1"/>
    <col min="10" max="10" width="1.42578125" customWidth="1"/>
    <col min="11" max="14" width="20.140625" customWidth="1"/>
  </cols>
  <sheetData>
    <row r="1" spans="1:8" s="78" customFormat="1" ht="21" x14ac:dyDescent="0.35">
      <c r="A1" s="78" t="s">
        <v>105</v>
      </c>
      <c r="D1" s="79"/>
    </row>
    <row r="3" spans="1:8" x14ac:dyDescent="0.25">
      <c r="A3" s="3" t="s">
        <v>73</v>
      </c>
      <c r="B3" s="3"/>
      <c r="C3" s="24"/>
      <c r="D3" s="24"/>
    </row>
    <row r="4" spans="1:8" x14ac:dyDescent="0.25">
      <c r="A4" s="5" t="s">
        <v>107</v>
      </c>
      <c r="B4" s="5"/>
      <c r="C4" s="24"/>
      <c r="D4" s="24"/>
    </row>
    <row r="5" spans="1:8" s="24" customFormat="1" x14ac:dyDescent="0.25">
      <c r="A5" s="21"/>
      <c r="B5" s="21"/>
      <c r="C5" s="21"/>
      <c r="D5" s="21"/>
      <c r="E5" s="21"/>
      <c r="F5" s="21"/>
      <c r="G5" s="21"/>
      <c r="H5" s="21"/>
    </row>
    <row r="6" spans="1:8" s="76" customFormat="1" ht="15.75" x14ac:dyDescent="0.25">
      <c r="A6" s="70" t="s">
        <v>152</v>
      </c>
      <c r="B6" s="70"/>
      <c r="C6" s="70"/>
      <c r="D6" s="80"/>
      <c r="E6" s="70"/>
    </row>
    <row r="7" spans="1:8" x14ac:dyDescent="0.25">
      <c r="A7" s="2" t="s">
        <v>264</v>
      </c>
      <c r="B7" t="s">
        <v>90</v>
      </c>
    </row>
    <row r="8" spans="1:8" ht="30" x14ac:dyDescent="0.25">
      <c r="A8" s="149" t="s">
        <v>86</v>
      </c>
      <c r="B8" s="150" t="s">
        <v>87</v>
      </c>
      <c r="C8" s="150" t="s">
        <v>88</v>
      </c>
      <c r="D8" s="151" t="s">
        <v>89</v>
      </c>
      <c r="E8" s="152" t="s">
        <v>174</v>
      </c>
    </row>
    <row r="9" spans="1:8" x14ac:dyDescent="0.25">
      <c r="A9" s="308">
        <v>460</v>
      </c>
      <c r="B9" s="309">
        <v>12</v>
      </c>
      <c r="C9" s="309">
        <v>2</v>
      </c>
      <c r="D9" s="310">
        <v>0.8</v>
      </c>
      <c r="E9" s="311">
        <v>50.6</v>
      </c>
    </row>
    <row r="10" spans="1:8" x14ac:dyDescent="0.25">
      <c r="A10" s="199" t="s">
        <v>92</v>
      </c>
      <c r="B10" s="200" t="s">
        <v>93</v>
      </c>
      <c r="C10" s="30"/>
      <c r="D10" s="31"/>
      <c r="E10" s="30"/>
    </row>
    <row r="11" spans="1:8" x14ac:dyDescent="0.25">
      <c r="A11" s="201">
        <f>B9*(C9/2)*D9*A9</f>
        <v>4416.0000000000009</v>
      </c>
      <c r="B11" s="202">
        <f>((100-E9)*A11)/100</f>
        <v>2181.5040000000004</v>
      </c>
      <c r="C11" s="30"/>
      <c r="D11" s="31"/>
      <c r="E11" s="30"/>
    </row>
    <row r="14" spans="1:8" s="70" customFormat="1" ht="15.75" x14ac:dyDescent="0.25">
      <c r="A14" s="70" t="s">
        <v>106</v>
      </c>
      <c r="D14" s="80"/>
    </row>
    <row r="15" spans="1:8" x14ac:dyDescent="0.25">
      <c r="A15" s="2" t="s">
        <v>85</v>
      </c>
    </row>
    <row r="16" spans="1:8" x14ac:dyDescent="0.25">
      <c r="A16" s="39" t="s">
        <v>95</v>
      </c>
      <c r="B16" s="41" t="s">
        <v>96</v>
      </c>
      <c r="C16" s="83" t="s">
        <v>84</v>
      </c>
    </row>
    <row r="17" spans="1:4" x14ac:dyDescent="0.25">
      <c r="A17" s="40">
        <f>A11</f>
        <v>4416.0000000000009</v>
      </c>
      <c r="B17" s="42">
        <f>E9</f>
        <v>50.6</v>
      </c>
      <c r="C17" s="312">
        <v>55</v>
      </c>
    </row>
    <row r="18" spans="1:4" x14ac:dyDescent="0.25">
      <c r="A18" s="81" t="s">
        <v>83</v>
      </c>
      <c r="B18" s="30"/>
      <c r="C18" s="30"/>
    </row>
    <row r="19" spans="1:4" x14ac:dyDescent="0.25">
      <c r="A19" s="82">
        <f>(A17*(C17-B17)/100)/((100-C17)/100)</f>
        <v>431.78666666666658</v>
      </c>
      <c r="B19" s="30"/>
      <c r="C19" s="30"/>
    </row>
    <row r="22" spans="1:4" ht="15.75" x14ac:dyDescent="0.25">
      <c r="A22" s="70" t="s">
        <v>218</v>
      </c>
    </row>
    <row r="23" spans="1:4" s="166" customFormat="1" ht="30" x14ac:dyDescent="0.25">
      <c r="A23" s="191" t="s">
        <v>261</v>
      </c>
      <c r="B23" s="192" t="s">
        <v>262</v>
      </c>
      <c r="D23" s="193"/>
    </row>
    <row r="24" spans="1:4" s="166" customFormat="1" x14ac:dyDescent="0.25">
      <c r="A24" s="313">
        <f>21*3</f>
        <v>63</v>
      </c>
      <c r="B24" s="314">
        <f>55+60</f>
        <v>115</v>
      </c>
      <c r="C24" s="194"/>
      <c r="D24" s="194"/>
    </row>
    <row r="25" spans="1:4" s="166" customFormat="1" x14ac:dyDescent="0.25">
      <c r="A25" s="197" t="s">
        <v>219</v>
      </c>
      <c r="B25" s="198" t="str">
        <f>CONCATENATE("Time for ", ROUND(A19,0),"L (min)")</f>
        <v>Time for 432L (min)</v>
      </c>
      <c r="D25" s="193"/>
    </row>
    <row r="26" spans="1:4" s="166" customFormat="1" x14ac:dyDescent="0.25">
      <c r="A26" s="195">
        <f>A24/B24</f>
        <v>0.54782608695652169</v>
      </c>
      <c r="B26" s="196">
        <f>(A19/A26)/60</f>
        <v>13.136366843033509</v>
      </c>
      <c r="D26" s="193"/>
    </row>
    <row r="37" spans="3:4" x14ac:dyDescent="0.25">
      <c r="C37" s="21"/>
      <c r="D37" s="21"/>
    </row>
    <row r="58" spans="1:14" x14ac:dyDescent="0.25">
      <c r="A58" s="570" t="s">
        <v>75</v>
      </c>
      <c r="B58" s="568"/>
      <c r="C58" s="568" t="s">
        <v>76</v>
      </c>
      <c r="D58" s="568"/>
      <c r="E58" s="28"/>
      <c r="F58" s="568" t="s">
        <v>75</v>
      </c>
      <c r="G58" s="568"/>
      <c r="H58" s="568" t="s">
        <v>76</v>
      </c>
      <c r="I58" s="568"/>
      <c r="J58" s="28"/>
      <c r="K58" s="568" t="s">
        <v>75</v>
      </c>
      <c r="L58" s="569"/>
      <c r="M58" s="568" t="s">
        <v>76</v>
      </c>
      <c r="N58" s="569"/>
    </row>
    <row r="59" spans="1:14" x14ac:dyDescent="0.25">
      <c r="A59" s="33" t="s">
        <v>151</v>
      </c>
      <c r="B59" s="34" t="s">
        <v>77</v>
      </c>
      <c r="C59" s="34" t="s">
        <v>79</v>
      </c>
      <c r="D59" s="35" t="s">
        <v>78</v>
      </c>
      <c r="E59" s="34"/>
      <c r="F59" s="34" t="s">
        <v>151</v>
      </c>
      <c r="G59" s="34" t="s">
        <v>77</v>
      </c>
      <c r="H59" s="34" t="s">
        <v>79</v>
      </c>
      <c r="I59" s="35" t="s">
        <v>78</v>
      </c>
      <c r="J59" s="34"/>
      <c r="K59" s="34" t="s">
        <v>151</v>
      </c>
      <c r="L59" s="37" t="s">
        <v>77</v>
      </c>
      <c r="M59" s="30" t="s">
        <v>79</v>
      </c>
      <c r="N59" s="32" t="s">
        <v>78</v>
      </c>
    </row>
    <row r="60" spans="1:14" x14ac:dyDescent="0.25">
      <c r="A60" s="29">
        <v>0</v>
      </c>
      <c r="B60" s="30">
        <v>45</v>
      </c>
      <c r="C60" s="30">
        <v>196</v>
      </c>
      <c r="D60" s="31">
        <f>C60*3.785/0.907</f>
        <v>817.92723263506059</v>
      </c>
      <c r="E60" s="30"/>
      <c r="F60" s="30">
        <v>0</v>
      </c>
      <c r="G60" s="30">
        <v>55</v>
      </c>
      <c r="H60" s="30">
        <v>293</v>
      </c>
      <c r="I60" s="31">
        <f t="shared" ref="I60:I71" si="0">H60*3.785/0.907</f>
        <v>1222.7177508269019</v>
      </c>
      <c r="J60" s="30"/>
      <c r="K60" s="30">
        <v>0</v>
      </c>
      <c r="L60" s="30">
        <v>60</v>
      </c>
      <c r="M60" s="30">
        <v>360</v>
      </c>
      <c r="N60" s="32">
        <f t="shared" ref="N60:N72" si="1">M60*3.785/0.907</f>
        <v>1502.3153252480706</v>
      </c>
    </row>
    <row r="61" spans="1:14" x14ac:dyDescent="0.25">
      <c r="A61" s="29">
        <v>5</v>
      </c>
      <c r="B61" s="30">
        <v>45</v>
      </c>
      <c r="C61" s="30">
        <v>175</v>
      </c>
      <c r="D61" s="31">
        <f t="shared" ref="D61:D69" si="2">C61*3.785/0.907</f>
        <v>730.2921719955898</v>
      </c>
      <c r="E61" s="30"/>
      <c r="F61" s="30">
        <v>5</v>
      </c>
      <c r="G61" s="30">
        <v>55</v>
      </c>
      <c r="H61" s="30">
        <v>267</v>
      </c>
      <c r="I61" s="31">
        <f t="shared" si="0"/>
        <v>1114.2171995589856</v>
      </c>
      <c r="J61" s="30"/>
      <c r="K61" s="30">
        <v>5</v>
      </c>
      <c r="L61" s="30">
        <v>60</v>
      </c>
      <c r="M61" s="30">
        <v>330</v>
      </c>
      <c r="N61" s="32">
        <f t="shared" si="1"/>
        <v>1377.122381477398</v>
      </c>
    </row>
    <row r="62" spans="1:14" x14ac:dyDescent="0.25">
      <c r="A62" s="29">
        <v>10</v>
      </c>
      <c r="B62" s="30">
        <v>45</v>
      </c>
      <c r="C62" s="30">
        <v>153</v>
      </c>
      <c r="D62" s="31">
        <f t="shared" si="2"/>
        <v>638.48401323043004</v>
      </c>
      <c r="E62" s="30"/>
      <c r="F62" s="30">
        <v>10</v>
      </c>
      <c r="G62" s="30">
        <v>55</v>
      </c>
      <c r="H62" s="30">
        <v>240</v>
      </c>
      <c r="I62" s="31">
        <f t="shared" si="0"/>
        <v>1001.5435501653805</v>
      </c>
      <c r="J62" s="30"/>
      <c r="K62" s="30">
        <v>10</v>
      </c>
      <c r="L62" s="30">
        <v>60</v>
      </c>
      <c r="M62" s="30">
        <v>300</v>
      </c>
      <c r="N62" s="32">
        <f t="shared" si="1"/>
        <v>1251.9294377067254</v>
      </c>
    </row>
    <row r="63" spans="1:14" x14ac:dyDescent="0.25">
      <c r="A63" s="29">
        <v>15</v>
      </c>
      <c r="B63" s="30">
        <v>45</v>
      </c>
      <c r="C63" s="30">
        <v>131</v>
      </c>
      <c r="D63" s="31">
        <f t="shared" si="2"/>
        <v>546.67585446527016</v>
      </c>
      <c r="E63" s="30"/>
      <c r="F63" s="30">
        <v>15</v>
      </c>
      <c r="G63" s="30">
        <v>55</v>
      </c>
      <c r="H63" s="30">
        <v>213</v>
      </c>
      <c r="I63" s="31">
        <f t="shared" si="0"/>
        <v>888.86990077177506</v>
      </c>
      <c r="J63" s="30"/>
      <c r="K63" s="30">
        <v>15</v>
      </c>
      <c r="L63" s="30">
        <v>60</v>
      </c>
      <c r="M63" s="30">
        <v>270</v>
      </c>
      <c r="N63" s="32">
        <f t="shared" si="1"/>
        <v>1126.736493936053</v>
      </c>
    </row>
    <row r="64" spans="1:14" x14ac:dyDescent="0.25">
      <c r="A64" s="29">
        <v>20</v>
      </c>
      <c r="B64" s="30">
        <v>45</v>
      </c>
      <c r="C64" s="30">
        <v>109</v>
      </c>
      <c r="D64" s="31">
        <f t="shared" si="2"/>
        <v>454.86769570011023</v>
      </c>
      <c r="E64" s="30"/>
      <c r="F64" s="30">
        <v>20</v>
      </c>
      <c r="G64" s="30">
        <v>55</v>
      </c>
      <c r="H64" s="30">
        <v>187</v>
      </c>
      <c r="I64" s="31">
        <f t="shared" si="0"/>
        <v>780.36934950385898</v>
      </c>
      <c r="J64" s="30"/>
      <c r="K64" s="30">
        <v>20</v>
      </c>
      <c r="L64" s="30">
        <v>60</v>
      </c>
      <c r="M64" s="30">
        <v>240</v>
      </c>
      <c r="N64" s="32">
        <f t="shared" si="1"/>
        <v>1001.5435501653805</v>
      </c>
    </row>
    <row r="65" spans="1:14" x14ac:dyDescent="0.25">
      <c r="A65" s="29">
        <v>25</v>
      </c>
      <c r="B65" s="30">
        <v>45</v>
      </c>
      <c r="C65" s="30">
        <v>87</v>
      </c>
      <c r="D65" s="31">
        <f t="shared" si="2"/>
        <v>363.05953693495042</v>
      </c>
      <c r="E65" s="30"/>
      <c r="F65" s="30">
        <v>25</v>
      </c>
      <c r="G65" s="30">
        <v>55</v>
      </c>
      <c r="H65" s="30">
        <v>160</v>
      </c>
      <c r="I65" s="31">
        <f t="shared" si="0"/>
        <v>667.6957001102536</v>
      </c>
      <c r="J65" s="30"/>
      <c r="K65" s="30">
        <v>25</v>
      </c>
      <c r="L65" s="30">
        <v>60</v>
      </c>
      <c r="M65" s="30">
        <v>210</v>
      </c>
      <c r="N65" s="32">
        <f t="shared" si="1"/>
        <v>876.35060639470782</v>
      </c>
    </row>
    <row r="66" spans="1:14" x14ac:dyDescent="0.25">
      <c r="A66" s="29">
        <v>30</v>
      </c>
      <c r="B66" s="30">
        <v>45</v>
      </c>
      <c r="C66" s="30">
        <v>65</v>
      </c>
      <c r="D66" s="31">
        <f t="shared" si="2"/>
        <v>271.25137816979054</v>
      </c>
      <c r="E66" s="30"/>
      <c r="F66" s="30">
        <v>30</v>
      </c>
      <c r="G66" s="30">
        <v>55</v>
      </c>
      <c r="H66" s="30">
        <v>133</v>
      </c>
      <c r="I66" s="31">
        <f t="shared" si="0"/>
        <v>555.02205071664832</v>
      </c>
      <c r="J66" s="30"/>
      <c r="K66" s="30">
        <v>30</v>
      </c>
      <c r="L66" s="30">
        <v>60</v>
      </c>
      <c r="M66" s="30">
        <v>180</v>
      </c>
      <c r="N66" s="32">
        <f t="shared" si="1"/>
        <v>751.15766262403531</v>
      </c>
    </row>
    <row r="67" spans="1:14" x14ac:dyDescent="0.25">
      <c r="A67" s="29">
        <v>35</v>
      </c>
      <c r="B67" s="30">
        <v>45</v>
      </c>
      <c r="C67" s="30">
        <v>44</v>
      </c>
      <c r="D67" s="31">
        <f t="shared" si="2"/>
        <v>183.61631753031975</v>
      </c>
      <c r="E67" s="30"/>
      <c r="F67" s="30">
        <v>35</v>
      </c>
      <c r="G67" s="30">
        <v>55</v>
      </c>
      <c r="H67" s="30">
        <v>107</v>
      </c>
      <c r="I67" s="31">
        <f t="shared" si="0"/>
        <v>446.52149944873207</v>
      </c>
      <c r="J67" s="30"/>
      <c r="K67" s="30">
        <v>35</v>
      </c>
      <c r="L67" s="30">
        <v>60</v>
      </c>
      <c r="M67" s="30">
        <v>150</v>
      </c>
      <c r="N67" s="32">
        <f t="shared" si="1"/>
        <v>625.96471885336268</v>
      </c>
    </row>
    <row r="68" spans="1:14" x14ac:dyDescent="0.25">
      <c r="A68" s="29">
        <v>40</v>
      </c>
      <c r="B68" s="30">
        <v>45</v>
      </c>
      <c r="C68" s="30">
        <v>22</v>
      </c>
      <c r="D68" s="31">
        <f t="shared" si="2"/>
        <v>91.808158765159874</v>
      </c>
      <c r="E68" s="30"/>
      <c r="F68" s="30">
        <v>40</v>
      </c>
      <c r="G68" s="30">
        <v>55</v>
      </c>
      <c r="H68" s="30">
        <v>80</v>
      </c>
      <c r="I68" s="31">
        <f t="shared" si="0"/>
        <v>333.8478500551268</v>
      </c>
      <c r="J68" s="30"/>
      <c r="K68" s="30">
        <v>40</v>
      </c>
      <c r="L68" s="30">
        <v>60</v>
      </c>
      <c r="M68" s="30">
        <v>120</v>
      </c>
      <c r="N68" s="32">
        <f t="shared" si="1"/>
        <v>500.77177508269023</v>
      </c>
    </row>
    <row r="69" spans="1:14" x14ac:dyDescent="0.25">
      <c r="A69" s="29">
        <v>45</v>
      </c>
      <c r="B69" s="30">
        <v>45</v>
      </c>
      <c r="C69" s="30">
        <v>0</v>
      </c>
      <c r="D69" s="31">
        <f t="shared" si="2"/>
        <v>0</v>
      </c>
      <c r="E69" s="30"/>
      <c r="F69" s="30">
        <v>45</v>
      </c>
      <c r="G69" s="30">
        <v>55</v>
      </c>
      <c r="H69" s="30">
        <v>53</v>
      </c>
      <c r="I69" s="31">
        <f t="shared" si="0"/>
        <v>221.17420066152152</v>
      </c>
      <c r="J69" s="30"/>
      <c r="K69" s="30">
        <v>45</v>
      </c>
      <c r="L69" s="30">
        <v>60</v>
      </c>
      <c r="M69" s="30">
        <v>90</v>
      </c>
      <c r="N69" s="32">
        <f t="shared" si="1"/>
        <v>375.57883131201766</v>
      </c>
    </row>
    <row r="70" spans="1:14" x14ac:dyDescent="0.25">
      <c r="A70" s="29"/>
      <c r="B70" s="30"/>
      <c r="C70" s="30"/>
      <c r="D70" s="31"/>
      <c r="E70" s="30"/>
      <c r="F70" s="30">
        <v>50</v>
      </c>
      <c r="G70" s="30">
        <v>55</v>
      </c>
      <c r="H70" s="30">
        <v>27</v>
      </c>
      <c r="I70" s="31">
        <f t="shared" si="0"/>
        <v>112.6736493936053</v>
      </c>
      <c r="J70" s="30"/>
      <c r="K70" s="30">
        <v>50</v>
      </c>
      <c r="L70" s="30">
        <v>60</v>
      </c>
      <c r="M70" s="30">
        <v>60</v>
      </c>
      <c r="N70" s="32">
        <f t="shared" si="1"/>
        <v>250.38588754134511</v>
      </c>
    </row>
    <row r="71" spans="1:14" x14ac:dyDescent="0.25">
      <c r="A71" s="29"/>
      <c r="B71" s="30"/>
      <c r="C71" s="30"/>
      <c r="D71" s="31"/>
      <c r="E71" s="30"/>
      <c r="F71" s="30">
        <v>55</v>
      </c>
      <c r="G71" s="30">
        <v>55</v>
      </c>
      <c r="H71" s="30">
        <v>0</v>
      </c>
      <c r="I71" s="31">
        <f t="shared" si="0"/>
        <v>0</v>
      </c>
      <c r="J71" s="30"/>
      <c r="K71" s="30">
        <v>55</v>
      </c>
      <c r="L71" s="30">
        <v>60</v>
      </c>
      <c r="M71" s="30">
        <v>30</v>
      </c>
      <c r="N71" s="32">
        <f t="shared" si="1"/>
        <v>125.19294377067256</v>
      </c>
    </row>
    <row r="72" spans="1:14" x14ac:dyDescent="0.25">
      <c r="A72" s="33"/>
      <c r="B72" s="34"/>
      <c r="C72" s="34"/>
      <c r="D72" s="35"/>
      <c r="E72" s="34"/>
      <c r="F72" s="34"/>
      <c r="G72" s="34"/>
      <c r="H72" s="34"/>
      <c r="I72" s="34"/>
      <c r="J72" s="34"/>
      <c r="K72" s="34">
        <v>60</v>
      </c>
      <c r="L72" s="34">
        <v>60</v>
      </c>
      <c r="M72" s="34">
        <v>0</v>
      </c>
      <c r="N72" s="36">
        <f t="shared" si="1"/>
        <v>0</v>
      </c>
    </row>
    <row r="73" spans="1:14" x14ac:dyDescent="0.25">
      <c r="A73" t="s">
        <v>74</v>
      </c>
      <c r="B73" s="1"/>
    </row>
    <row r="74" spans="1:14" x14ac:dyDescent="0.25">
      <c r="A74" t="s">
        <v>80</v>
      </c>
    </row>
  </sheetData>
  <sheetProtection sheet="1" objects="1" scenarios="1" selectLockedCells="1"/>
  <mergeCells count="6">
    <mergeCell ref="M58:N58"/>
    <mergeCell ref="A58:B58"/>
    <mergeCell ref="C58:D58"/>
    <mergeCell ref="F58:G58"/>
    <mergeCell ref="K58:L58"/>
    <mergeCell ref="H58:I58"/>
  </mergeCells>
  <pageMargins left="0.70866141732283472" right="0.70866141732283472" top="0.74803149606299213" bottom="0.74803149606299213" header="0.31496062992125984" footer="0.31496062992125984"/>
  <pageSetup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P37"/>
  <sheetViews>
    <sheetView showGridLines="0" workbookViewId="0">
      <selection activeCell="C34" sqref="C34"/>
    </sheetView>
  </sheetViews>
  <sheetFormatPr defaultRowHeight="15" x14ac:dyDescent="0.25"/>
  <cols>
    <col min="2" max="3" width="23.7109375" customWidth="1"/>
    <col min="6" max="6" width="12.42578125" customWidth="1"/>
    <col min="7" max="12" width="15.85546875" customWidth="1"/>
  </cols>
  <sheetData>
    <row r="1" spans="1:16" x14ac:dyDescent="0.25">
      <c r="A1" s="84" t="s">
        <v>266</v>
      </c>
      <c r="B1" s="84"/>
    </row>
    <row r="3" spans="1:16" s="73" customFormat="1" ht="18.75" x14ac:dyDescent="0.3">
      <c r="A3" s="95" t="s">
        <v>120</v>
      </c>
      <c r="B3" s="96"/>
      <c r="C3" s="96"/>
      <c r="D3" s="96"/>
      <c r="E3" s="95"/>
      <c r="F3" s="96" t="s">
        <v>121</v>
      </c>
      <c r="G3" s="96"/>
      <c r="H3" s="96"/>
      <c r="I3" s="96"/>
      <c r="J3" s="96"/>
      <c r="K3" s="96"/>
      <c r="L3" s="96"/>
      <c r="M3" s="96"/>
      <c r="N3" s="96"/>
      <c r="O3" s="96"/>
      <c r="P3" s="97"/>
    </row>
    <row r="4" spans="1:16" x14ac:dyDescent="0.25">
      <c r="A4" s="29"/>
      <c r="B4" s="30"/>
      <c r="C4" s="30"/>
      <c r="D4" s="30"/>
      <c r="E4" s="29"/>
      <c r="F4" s="30"/>
      <c r="G4" s="30"/>
      <c r="H4" s="30"/>
      <c r="I4" s="30"/>
      <c r="J4" s="30"/>
      <c r="K4" s="30"/>
      <c r="L4" s="30"/>
      <c r="M4" s="30"/>
      <c r="N4" s="30"/>
      <c r="O4" s="30"/>
      <c r="P4" s="38"/>
    </row>
    <row r="5" spans="1:16" x14ac:dyDescent="0.25">
      <c r="A5" s="29"/>
      <c r="B5" s="22" t="s">
        <v>118</v>
      </c>
      <c r="C5" s="22"/>
      <c r="D5" s="30"/>
      <c r="E5" s="29"/>
      <c r="F5" s="30" t="s">
        <v>122</v>
      </c>
      <c r="G5" s="23"/>
      <c r="H5" s="315">
        <v>1</v>
      </c>
      <c r="I5" s="30" t="s">
        <v>123</v>
      </c>
      <c r="J5" s="30"/>
      <c r="K5" s="30"/>
      <c r="L5" s="30"/>
      <c r="M5" s="30"/>
      <c r="N5" s="30"/>
      <c r="O5" s="30"/>
      <c r="P5" s="38"/>
    </row>
    <row r="6" spans="1:16" x14ac:dyDescent="0.25">
      <c r="A6" s="29"/>
      <c r="B6" s="69" t="s">
        <v>91</v>
      </c>
      <c r="C6" s="91" t="s">
        <v>98</v>
      </c>
      <c r="D6" s="30"/>
      <c r="E6" s="29"/>
      <c r="F6" s="30"/>
      <c r="G6" s="23"/>
      <c r="H6" s="23"/>
      <c r="I6" s="30"/>
      <c r="J6" s="30"/>
      <c r="K6" s="30"/>
      <c r="L6" s="30"/>
      <c r="M6" s="30"/>
      <c r="N6" s="30"/>
      <c r="O6" s="30"/>
      <c r="P6" s="38"/>
    </row>
    <row r="7" spans="1:16" ht="15.75" x14ac:dyDescent="0.25">
      <c r="A7" s="29"/>
      <c r="B7" s="316">
        <v>55</v>
      </c>
      <c r="C7" s="92">
        <f>100-B7</f>
        <v>45</v>
      </c>
      <c r="D7" s="30"/>
      <c r="E7" s="29"/>
      <c r="F7" s="117" t="s">
        <v>124</v>
      </c>
      <c r="G7" s="30"/>
      <c r="H7" s="30"/>
      <c r="I7" s="30"/>
      <c r="J7" s="30"/>
      <c r="K7" s="30"/>
      <c r="L7" s="30"/>
      <c r="M7" s="30"/>
      <c r="N7" s="30"/>
      <c r="O7" s="30"/>
      <c r="P7" s="38"/>
    </row>
    <row r="8" spans="1:16" x14ac:dyDescent="0.25">
      <c r="A8" s="29"/>
      <c r="B8" s="98"/>
      <c r="C8" s="98"/>
      <c r="D8" s="30"/>
      <c r="E8" s="29"/>
      <c r="F8" s="30"/>
      <c r="G8" s="571" t="s">
        <v>125</v>
      </c>
      <c r="H8" s="572"/>
      <c r="I8" s="572"/>
      <c r="J8" s="572"/>
      <c r="K8" s="572"/>
      <c r="L8" s="573"/>
      <c r="M8" s="30"/>
      <c r="N8" s="30"/>
      <c r="O8" s="30"/>
      <c r="P8" s="38"/>
    </row>
    <row r="9" spans="1:16" x14ac:dyDescent="0.25">
      <c r="A9" s="29"/>
      <c r="B9" s="69" t="s">
        <v>97</v>
      </c>
      <c r="C9" s="91" t="s">
        <v>95</v>
      </c>
      <c r="D9" s="30"/>
      <c r="E9" s="29"/>
      <c r="F9" s="30"/>
      <c r="G9" s="102" t="s">
        <v>127</v>
      </c>
      <c r="H9" s="103" t="s">
        <v>128</v>
      </c>
      <c r="I9" s="103" t="s">
        <v>129</v>
      </c>
      <c r="J9" s="103" t="s">
        <v>130</v>
      </c>
      <c r="K9" s="103" t="s">
        <v>131</v>
      </c>
      <c r="L9" s="104" t="s">
        <v>132</v>
      </c>
      <c r="M9" s="30"/>
      <c r="N9" s="30"/>
      <c r="O9" s="30"/>
      <c r="P9" s="38"/>
    </row>
    <row r="10" spans="1:16" x14ac:dyDescent="0.25">
      <c r="A10" s="29"/>
      <c r="B10" s="317">
        <v>100</v>
      </c>
      <c r="C10" s="92">
        <f>(B10*100)/(100-B7)</f>
        <v>222.22222222222223</v>
      </c>
      <c r="D10" s="30"/>
      <c r="E10" s="29"/>
      <c r="F10" s="47" t="str">
        <f>CONCATENATE($H$5," g =")</f>
        <v>1 g =</v>
      </c>
      <c r="G10" s="105">
        <f>$H$5</f>
        <v>1</v>
      </c>
      <c r="H10" s="106">
        <f>$H$5/1000</f>
        <v>1E-3</v>
      </c>
      <c r="I10" s="106">
        <f>$H$5/1000000</f>
        <v>9.9999999999999995E-7</v>
      </c>
      <c r="J10" s="106">
        <f>$H$5/28.35</f>
        <v>3.5273368606701938E-2</v>
      </c>
      <c r="K10" s="106">
        <f>$H$5*2.204/1000</f>
        <v>2.2040000000000002E-3</v>
      </c>
      <c r="L10" s="107">
        <f>$H$5/907180</f>
        <v>1.1023170704821535E-6</v>
      </c>
      <c r="M10" s="30"/>
      <c r="N10" s="30"/>
      <c r="O10" s="30"/>
      <c r="P10" s="38"/>
    </row>
    <row r="11" spans="1:16" x14ac:dyDescent="0.25">
      <c r="A11" s="29"/>
      <c r="B11" s="93" t="s">
        <v>95</v>
      </c>
      <c r="C11" s="94" t="s">
        <v>97</v>
      </c>
      <c r="D11" s="30"/>
      <c r="E11" s="29"/>
      <c r="F11" s="101" t="str">
        <f>CONCATENATE($H$5," kg =")</f>
        <v>1 kg =</v>
      </c>
      <c r="G11" s="108">
        <f>$H$5*1000</f>
        <v>1000</v>
      </c>
      <c r="H11" s="109">
        <f>$H$5</f>
        <v>1</v>
      </c>
      <c r="I11" s="109">
        <f>$H$5/1000</f>
        <v>1E-3</v>
      </c>
      <c r="J11" s="109">
        <f>$H$5*1000/28.35</f>
        <v>35.273368606701936</v>
      </c>
      <c r="K11" s="109">
        <f>$H$5*2.204</f>
        <v>2.2040000000000002</v>
      </c>
      <c r="L11" s="110">
        <f>$H$5/907.18</f>
        <v>1.1023170704821535E-3</v>
      </c>
      <c r="M11" s="30"/>
      <c r="N11" s="30"/>
      <c r="O11" s="30"/>
      <c r="P11" s="38"/>
    </row>
    <row r="12" spans="1:16" x14ac:dyDescent="0.25">
      <c r="A12" s="29"/>
      <c r="B12" s="318">
        <v>143</v>
      </c>
      <c r="C12" s="94">
        <f>((100-B7)*B12)/100</f>
        <v>64.349999999999994</v>
      </c>
      <c r="D12" s="30"/>
      <c r="E12" s="29"/>
      <c r="F12" s="101" t="str">
        <f>CONCATENATE($H$5," tonne =")</f>
        <v>1 tonne =</v>
      </c>
      <c r="G12" s="108">
        <f>$H$5*1000000</f>
        <v>1000000</v>
      </c>
      <c r="H12" s="109">
        <f>$H$5*1000</f>
        <v>1000</v>
      </c>
      <c r="I12" s="109">
        <f>$H$5</f>
        <v>1</v>
      </c>
      <c r="J12" s="109">
        <f>$H$5*1000000/28.35</f>
        <v>35273.368606701937</v>
      </c>
      <c r="K12" s="109">
        <f>$H$5*2.204*1000</f>
        <v>2204</v>
      </c>
      <c r="L12" s="110">
        <f>$H$5/0.907</f>
        <v>1.1025358324145533</v>
      </c>
      <c r="M12" s="30"/>
      <c r="N12" s="30"/>
      <c r="O12" s="30"/>
      <c r="P12" s="38"/>
    </row>
    <row r="13" spans="1:16" ht="17.25" x14ac:dyDescent="0.25">
      <c r="A13" s="29"/>
      <c r="B13" s="69" t="s">
        <v>94</v>
      </c>
      <c r="C13" s="91" t="s">
        <v>86</v>
      </c>
      <c r="D13" s="30"/>
      <c r="E13" s="29"/>
      <c r="F13" s="101" t="str">
        <f>CONCATENATE($H$5," ounce =")</f>
        <v>1 ounce =</v>
      </c>
      <c r="G13" s="108">
        <f>$H$5*28.35</f>
        <v>28.35</v>
      </c>
      <c r="H13" s="109">
        <f>$H$5*28.35/1000</f>
        <v>2.835E-2</v>
      </c>
      <c r="I13" s="109">
        <f>$H$5*28.35/1000000</f>
        <v>2.8350000000000001E-5</v>
      </c>
      <c r="J13" s="109">
        <f>$H$5</f>
        <v>1</v>
      </c>
      <c r="K13" s="109">
        <f>$H$5/16</f>
        <v>6.25E-2</v>
      </c>
      <c r="L13" s="110">
        <f>$H$5/32000</f>
        <v>3.1250000000000001E-5</v>
      </c>
      <c r="M13" s="30"/>
      <c r="N13" s="30"/>
      <c r="O13" s="30"/>
      <c r="P13" s="38"/>
    </row>
    <row r="14" spans="1:16" x14ac:dyDescent="0.25">
      <c r="A14" s="29"/>
      <c r="B14" s="317">
        <v>420</v>
      </c>
      <c r="C14" s="92">
        <f>(B14*100)/(100-B7)</f>
        <v>933.33333333333337</v>
      </c>
      <c r="D14" s="30"/>
      <c r="E14" s="29"/>
      <c r="F14" s="101" t="str">
        <f>CONCATENATE($H$5," lb =")</f>
        <v>1 lb =</v>
      </c>
      <c r="G14" s="108">
        <f>$H$5*0.4536*1000</f>
        <v>453.6</v>
      </c>
      <c r="H14" s="109">
        <f>$H$5*0.4536</f>
        <v>0.4536</v>
      </c>
      <c r="I14" s="109">
        <f>$H$5*0.4536/1000</f>
        <v>4.5360000000000002E-4</v>
      </c>
      <c r="J14" s="109">
        <f>$H$5*16</f>
        <v>16</v>
      </c>
      <c r="K14" s="109">
        <f>$H$5</f>
        <v>1</v>
      </c>
      <c r="L14" s="110">
        <f>$H$5/2000</f>
        <v>5.0000000000000001E-4</v>
      </c>
      <c r="M14" s="30"/>
      <c r="N14" s="30"/>
      <c r="O14" s="30"/>
      <c r="P14" s="38"/>
    </row>
    <row r="15" spans="1:16" ht="17.25" x14ac:dyDescent="0.25">
      <c r="A15" s="29"/>
      <c r="B15" s="69" t="s">
        <v>86</v>
      </c>
      <c r="C15" s="91" t="s">
        <v>94</v>
      </c>
      <c r="D15" s="30"/>
      <c r="E15" s="29"/>
      <c r="F15" s="48" t="str">
        <f>CONCATENATE($H$5," ton =")</f>
        <v>1 ton =</v>
      </c>
      <c r="G15" s="111">
        <f>$H$5*907.18*1000</f>
        <v>907180</v>
      </c>
      <c r="H15" s="112">
        <f>$H$5*907.18</f>
        <v>907.18</v>
      </c>
      <c r="I15" s="112">
        <f>$H$5*907.18/1000</f>
        <v>0.90717999999999999</v>
      </c>
      <c r="J15" s="112">
        <f>$H$5*32000</f>
        <v>32000</v>
      </c>
      <c r="K15" s="112">
        <f>$H$5*2000</f>
        <v>2000</v>
      </c>
      <c r="L15" s="113">
        <f>$H$5</f>
        <v>1</v>
      </c>
      <c r="M15" s="30"/>
      <c r="N15" s="30"/>
      <c r="O15" s="30"/>
      <c r="P15" s="38"/>
    </row>
    <row r="16" spans="1:16" x14ac:dyDescent="0.25">
      <c r="A16" s="29"/>
      <c r="B16" s="316">
        <v>570</v>
      </c>
      <c r="C16" s="92">
        <f>((100-B7)*B16)/100</f>
        <v>256.5</v>
      </c>
      <c r="D16" s="30"/>
      <c r="E16" s="29"/>
      <c r="F16" s="30"/>
      <c r="G16" s="30"/>
      <c r="H16" s="30"/>
      <c r="I16" s="30"/>
      <c r="J16" s="30"/>
      <c r="K16" s="30"/>
      <c r="L16" s="30"/>
      <c r="M16" s="30"/>
      <c r="N16" s="30"/>
      <c r="O16" s="30"/>
      <c r="P16" s="38"/>
    </row>
    <row r="17" spans="1:16" ht="15.75" x14ac:dyDescent="0.25">
      <c r="A17" s="29"/>
      <c r="B17" s="98"/>
      <c r="C17" s="98"/>
      <c r="D17" s="30"/>
      <c r="E17" s="29"/>
      <c r="F17" s="117" t="s">
        <v>126</v>
      </c>
      <c r="G17" s="30"/>
      <c r="H17" s="30"/>
      <c r="I17" s="30"/>
      <c r="J17" s="30"/>
      <c r="K17" s="30"/>
      <c r="L17" s="30"/>
      <c r="M17" s="30"/>
      <c r="N17" s="30"/>
      <c r="O17" s="30"/>
      <c r="P17" s="38"/>
    </row>
    <row r="18" spans="1:16" x14ac:dyDescent="0.25">
      <c r="A18" s="29"/>
      <c r="B18" s="58" t="s">
        <v>119</v>
      </c>
      <c r="C18" s="58"/>
      <c r="D18" s="30"/>
      <c r="E18" s="29"/>
      <c r="F18" s="30"/>
      <c r="G18" s="571" t="s">
        <v>125</v>
      </c>
      <c r="H18" s="572"/>
      <c r="I18" s="572"/>
      <c r="J18" s="572"/>
      <c r="K18" s="572"/>
      <c r="L18" s="572"/>
      <c r="M18" s="572"/>
      <c r="N18" s="572"/>
      <c r="O18" s="573"/>
      <c r="P18" s="38"/>
    </row>
    <row r="19" spans="1:16" x14ac:dyDescent="0.25">
      <c r="A19" s="29"/>
      <c r="B19" s="69" t="s">
        <v>98</v>
      </c>
      <c r="C19" s="91" t="s">
        <v>91</v>
      </c>
      <c r="D19" s="30"/>
      <c r="E19" s="29"/>
      <c r="F19" s="30"/>
      <c r="G19" s="102" t="s">
        <v>133</v>
      </c>
      <c r="H19" s="103" t="s">
        <v>134</v>
      </c>
      <c r="I19" s="103" t="s">
        <v>135</v>
      </c>
      <c r="J19" s="103" t="s">
        <v>136</v>
      </c>
      <c r="K19" s="103" t="s">
        <v>137</v>
      </c>
      <c r="L19" s="103" t="s">
        <v>138</v>
      </c>
      <c r="M19" s="103" t="s">
        <v>139</v>
      </c>
      <c r="N19" s="103" t="s">
        <v>140</v>
      </c>
      <c r="O19" s="104" t="s">
        <v>141</v>
      </c>
      <c r="P19" s="38"/>
    </row>
    <row r="20" spans="1:16" x14ac:dyDescent="0.25">
      <c r="A20" s="29"/>
      <c r="B20" s="316">
        <v>70</v>
      </c>
      <c r="C20" s="92">
        <f>100-B20</f>
        <v>30</v>
      </c>
      <c r="D20" s="30"/>
      <c r="E20" s="29"/>
      <c r="F20" s="99" t="str">
        <f>CONCATENATE($H$5," mm =")</f>
        <v>1 mm =</v>
      </c>
      <c r="G20" s="105">
        <f>$H$5</f>
        <v>1</v>
      </c>
      <c r="H20" s="106">
        <f>$H$5/10</f>
        <v>0.1</v>
      </c>
      <c r="I20" s="106">
        <f>$H$5/100</f>
        <v>0.01</v>
      </c>
      <c r="J20" s="106">
        <f>$H$5/1000</f>
        <v>1E-3</v>
      </c>
      <c r="K20" s="106">
        <f>$H$5/1000000</f>
        <v>9.9999999999999995E-7</v>
      </c>
      <c r="L20" s="106">
        <f>$H$5/25.4</f>
        <v>3.937007874015748E-2</v>
      </c>
      <c r="M20" s="106">
        <f>$H$5/304.8</f>
        <v>3.2808398950131233E-3</v>
      </c>
      <c r="N20" s="106">
        <f>$H$5/914.4</f>
        <v>1.0936132983377078E-3</v>
      </c>
      <c r="O20" s="107">
        <f>$H$5/1609344</f>
        <v>6.2137119223733397E-7</v>
      </c>
      <c r="P20" s="38"/>
    </row>
    <row r="21" spans="1:16" x14ac:dyDescent="0.25">
      <c r="A21" s="29"/>
      <c r="B21" s="98"/>
      <c r="C21" s="98"/>
      <c r="D21" s="30"/>
      <c r="E21" s="29"/>
      <c r="F21" s="100" t="str">
        <f>CONCATENATE($H$5," cm =")</f>
        <v>1 cm =</v>
      </c>
      <c r="G21" s="29">
        <f>$H$5*10</f>
        <v>10</v>
      </c>
      <c r="H21" s="109">
        <f>$H$5</f>
        <v>1</v>
      </c>
      <c r="I21" s="109">
        <f>$H$5/10</f>
        <v>0.1</v>
      </c>
      <c r="J21" s="109">
        <f>$H$5/100</f>
        <v>0.01</v>
      </c>
      <c r="K21" s="109">
        <f>$H$5/100000</f>
        <v>1.0000000000000001E-5</v>
      </c>
      <c r="L21" s="109">
        <f>$H$5/2.54</f>
        <v>0.39370078740157477</v>
      </c>
      <c r="M21" s="109">
        <f>$H$5/30.48</f>
        <v>3.2808398950131233E-2</v>
      </c>
      <c r="N21" s="109">
        <f>$H$5/91.44</f>
        <v>1.0936132983377079E-2</v>
      </c>
      <c r="O21" s="110">
        <f>$H$5/160934.4</f>
        <v>6.2137119223733401E-6</v>
      </c>
      <c r="P21" s="38"/>
    </row>
    <row r="22" spans="1:16" x14ac:dyDescent="0.25">
      <c r="A22" s="29"/>
      <c r="B22" s="69" t="s">
        <v>97</v>
      </c>
      <c r="C22" s="91" t="s">
        <v>95</v>
      </c>
      <c r="D22" s="30"/>
      <c r="E22" s="29"/>
      <c r="F22" s="100" t="str">
        <f>CONCATENATE($H$5," dm =")</f>
        <v>1 dm =</v>
      </c>
      <c r="G22" s="29">
        <f>$H$5*100</f>
        <v>100</v>
      </c>
      <c r="H22" s="30">
        <f>$H$5*10</f>
        <v>10</v>
      </c>
      <c r="I22" s="109">
        <f>$H$5</f>
        <v>1</v>
      </c>
      <c r="J22" s="109">
        <f>$H$5/10</f>
        <v>0.1</v>
      </c>
      <c r="K22" s="109">
        <f>$H$5/10000</f>
        <v>1E-4</v>
      </c>
      <c r="L22" s="109">
        <f>$H$5/0.254</f>
        <v>3.9370078740157481</v>
      </c>
      <c r="M22" s="109">
        <f>$H$5/3.048</f>
        <v>0.32808398950131235</v>
      </c>
      <c r="N22" s="109">
        <f>$H$5/9.144</f>
        <v>0.10936132983377078</v>
      </c>
      <c r="O22" s="110">
        <f>$H$5/16093.44</f>
        <v>6.2137119223733389E-5</v>
      </c>
      <c r="P22" s="38"/>
    </row>
    <row r="23" spans="1:16" x14ac:dyDescent="0.25">
      <c r="A23" s="29"/>
      <c r="B23" s="317">
        <v>100</v>
      </c>
      <c r="C23" s="92">
        <f>(B23*100)/(B20)</f>
        <v>142.85714285714286</v>
      </c>
      <c r="D23" s="30"/>
      <c r="E23" s="29"/>
      <c r="F23" s="100" t="str">
        <f>CONCATENATE($H$5," m =")</f>
        <v>1 m =</v>
      </c>
      <c r="G23" s="29">
        <f>$H$5*1000</f>
        <v>1000</v>
      </c>
      <c r="H23" s="30">
        <f>$H$5*100</f>
        <v>100</v>
      </c>
      <c r="I23" s="30">
        <f>$H$5*10</f>
        <v>10</v>
      </c>
      <c r="J23" s="109">
        <f>$H$5</f>
        <v>1</v>
      </c>
      <c r="K23" s="109">
        <f>$H$5/1000</f>
        <v>1E-3</v>
      </c>
      <c r="L23" s="109">
        <f>$H$5/0.0254</f>
        <v>39.370078740157481</v>
      </c>
      <c r="M23" s="109">
        <f>$H$5/0.3048</f>
        <v>3.280839895013123</v>
      </c>
      <c r="N23" s="109">
        <f>$H$5/0.9144</f>
        <v>1.0936132983377078</v>
      </c>
      <c r="O23" s="110">
        <f>$H$5/1609.344</f>
        <v>6.2137119223733392E-4</v>
      </c>
      <c r="P23" s="38"/>
    </row>
    <row r="24" spans="1:16" x14ac:dyDescent="0.25">
      <c r="A24" s="29"/>
      <c r="B24" s="93" t="s">
        <v>95</v>
      </c>
      <c r="C24" s="94" t="s">
        <v>97</v>
      </c>
      <c r="D24" s="30"/>
      <c r="E24" s="29"/>
      <c r="F24" s="100" t="str">
        <f>CONCATENATE($H$5," km =")</f>
        <v>1 km =</v>
      </c>
      <c r="G24" s="29">
        <f>$H$5*1000000</f>
        <v>1000000</v>
      </c>
      <c r="H24" s="30">
        <f>$H$5*100000</f>
        <v>100000</v>
      </c>
      <c r="I24" s="30">
        <f>$H$5*10000</f>
        <v>10000</v>
      </c>
      <c r="J24" s="30">
        <f>$H$5*1000</f>
        <v>1000</v>
      </c>
      <c r="K24" s="109">
        <f>$H$5</f>
        <v>1</v>
      </c>
      <c r="L24" s="109">
        <f>L23*1000</f>
        <v>39370.078740157478</v>
      </c>
      <c r="M24" s="109">
        <f>M23*1000</f>
        <v>3280.8398950131232</v>
      </c>
      <c r="N24" s="109">
        <f>N23*1000</f>
        <v>1093.6132983377079</v>
      </c>
      <c r="O24" s="110">
        <f>$H$5/1.609</f>
        <v>0.62150403977625857</v>
      </c>
      <c r="P24" s="38"/>
    </row>
    <row r="25" spans="1:16" x14ac:dyDescent="0.25">
      <c r="A25" s="29"/>
      <c r="B25" s="318">
        <v>143</v>
      </c>
      <c r="C25" s="94">
        <f>((B20)*B25)/100</f>
        <v>100.1</v>
      </c>
      <c r="D25" s="30"/>
      <c r="E25" s="29"/>
      <c r="F25" s="100" t="str">
        <f>CONCATENATE($H$5," inch =")</f>
        <v>1 inch =</v>
      </c>
      <c r="G25" s="108">
        <f>$H$5*25.4</f>
        <v>25.4</v>
      </c>
      <c r="H25" s="109">
        <f>$H$5*25.4/10</f>
        <v>2.54</v>
      </c>
      <c r="I25" s="109">
        <f>$H$5*25.4/100</f>
        <v>0.254</v>
      </c>
      <c r="J25" s="109">
        <f>$H$5*25.4/1000</f>
        <v>2.5399999999999999E-2</v>
      </c>
      <c r="K25" s="109">
        <f>$H$5*25.4/1000000</f>
        <v>2.5399999999999997E-5</v>
      </c>
      <c r="L25" s="109">
        <f>$H$5</f>
        <v>1</v>
      </c>
      <c r="M25" s="109">
        <f>$H$5/12</f>
        <v>8.3333333333333329E-2</v>
      </c>
      <c r="N25" s="109">
        <f>$H$5/36</f>
        <v>2.7777777777777776E-2</v>
      </c>
      <c r="O25" s="110">
        <f>$H$5/63360</f>
        <v>1.5782828282828283E-5</v>
      </c>
      <c r="P25" s="38"/>
    </row>
    <row r="26" spans="1:16" ht="17.25" x14ac:dyDescent="0.25">
      <c r="A26" s="29"/>
      <c r="B26" s="69" t="s">
        <v>94</v>
      </c>
      <c r="C26" s="91" t="s">
        <v>86</v>
      </c>
      <c r="D26" s="30"/>
      <c r="E26" s="29"/>
      <c r="F26" s="100" t="str">
        <f>CONCATENATE($H$5," foot =")</f>
        <v>1 foot =</v>
      </c>
      <c r="G26" s="108">
        <f>$H$5*304.8</f>
        <v>304.8</v>
      </c>
      <c r="H26" s="109">
        <f>$H$5*304.8/10</f>
        <v>30.48</v>
      </c>
      <c r="I26" s="109">
        <f>$H$5*304.8/100</f>
        <v>3.048</v>
      </c>
      <c r="J26" s="109">
        <f>$H$5*304.8/1000</f>
        <v>0.30480000000000002</v>
      </c>
      <c r="K26" s="109">
        <f>$H$5*304.8/1000000</f>
        <v>3.0480000000000004E-4</v>
      </c>
      <c r="L26" s="109">
        <v>12</v>
      </c>
      <c r="M26" s="109">
        <f>$H$5</f>
        <v>1</v>
      </c>
      <c r="N26" s="109">
        <f>$H$5/3</f>
        <v>0.33333333333333331</v>
      </c>
      <c r="O26" s="110">
        <f>$H$5/5280</f>
        <v>1.8939393939393939E-4</v>
      </c>
      <c r="P26" s="38"/>
    </row>
    <row r="27" spans="1:16" x14ac:dyDescent="0.25">
      <c r="A27" s="29"/>
      <c r="B27" s="317">
        <v>420</v>
      </c>
      <c r="C27" s="92">
        <f>(B27*100)/(B20)</f>
        <v>600</v>
      </c>
      <c r="D27" s="30"/>
      <c r="E27" s="29"/>
      <c r="F27" s="100" t="str">
        <f>CONCATENATE($H$5," yard =")</f>
        <v>1 yard =</v>
      </c>
      <c r="G27" s="108">
        <f>$H$5*914.4</f>
        <v>914.4</v>
      </c>
      <c r="H27" s="109">
        <f>$H$5*914.4/10</f>
        <v>91.44</v>
      </c>
      <c r="I27" s="109">
        <f>$H$5*914.4/100</f>
        <v>9.1440000000000001</v>
      </c>
      <c r="J27" s="109">
        <f>$H$5*914.4/1000</f>
        <v>0.91439999999999999</v>
      </c>
      <c r="K27" s="109">
        <f>$H$5*914.4/1000000</f>
        <v>9.144E-4</v>
      </c>
      <c r="L27" s="109">
        <f>$H$5*12*3</f>
        <v>36</v>
      </c>
      <c r="M27" s="109">
        <f>$H$5*3</f>
        <v>3</v>
      </c>
      <c r="N27" s="109">
        <f>$H$5</f>
        <v>1</v>
      </c>
      <c r="O27" s="110">
        <f>$H$5/1760</f>
        <v>5.6818181818181815E-4</v>
      </c>
      <c r="P27" s="38"/>
    </row>
    <row r="28" spans="1:16" ht="17.25" x14ac:dyDescent="0.25">
      <c r="A28" s="29"/>
      <c r="B28" s="69" t="s">
        <v>86</v>
      </c>
      <c r="C28" s="91" t="s">
        <v>94</v>
      </c>
      <c r="D28" s="30"/>
      <c r="E28" s="29"/>
      <c r="F28" s="16" t="str">
        <f>CONCATENATE($H$5," mile = ")</f>
        <v xml:space="preserve">1 mile = </v>
      </c>
      <c r="G28" s="111">
        <f>$H$5*1609344</f>
        <v>1609344</v>
      </c>
      <c r="H28" s="112">
        <f>$H$5*1609344/10</f>
        <v>160934.39999999999</v>
      </c>
      <c r="I28" s="112">
        <f>$H$5*1609344/100</f>
        <v>16093.44</v>
      </c>
      <c r="J28" s="112">
        <f>$H$5*1609344/1000</f>
        <v>1609.3440000000001</v>
      </c>
      <c r="K28" s="112">
        <f>$H$5*1609344/1000000</f>
        <v>1.6093440000000001</v>
      </c>
      <c r="L28" s="112">
        <f>$H$5*63360</f>
        <v>63360</v>
      </c>
      <c r="M28" s="112">
        <f>$H$5*63360/12</f>
        <v>5280</v>
      </c>
      <c r="N28" s="112">
        <f>$H$5*63360/(3*12)</f>
        <v>1760</v>
      </c>
      <c r="O28" s="113">
        <f>$H$5</f>
        <v>1</v>
      </c>
      <c r="P28" s="38"/>
    </row>
    <row r="29" spans="1:16" x14ac:dyDescent="0.25">
      <c r="A29" s="29"/>
      <c r="B29" s="316">
        <v>600</v>
      </c>
      <c r="C29" s="92">
        <f>((B20)*B29)/100</f>
        <v>420</v>
      </c>
      <c r="D29" s="30"/>
      <c r="E29" s="29"/>
      <c r="F29" s="30"/>
      <c r="G29" s="30"/>
      <c r="H29" s="30"/>
      <c r="I29" s="30"/>
      <c r="J29" s="30"/>
      <c r="K29" s="30"/>
      <c r="L29" s="30"/>
      <c r="M29" s="30"/>
      <c r="N29" s="30"/>
      <c r="O29" s="30"/>
      <c r="P29" s="38"/>
    </row>
    <row r="30" spans="1:16" ht="15.75" x14ac:dyDescent="0.25">
      <c r="A30" s="33"/>
      <c r="B30" s="34"/>
      <c r="C30" s="34"/>
      <c r="D30" s="34"/>
      <c r="E30" s="29"/>
      <c r="F30" s="117" t="s">
        <v>142</v>
      </c>
      <c r="G30" s="574" t="s">
        <v>125</v>
      </c>
      <c r="H30" s="574"/>
      <c r="I30" s="574"/>
      <c r="J30" s="574"/>
      <c r="K30" s="574"/>
      <c r="L30" s="30"/>
      <c r="M30" s="30"/>
      <c r="N30" s="30"/>
      <c r="O30" s="30"/>
      <c r="P30" s="38"/>
    </row>
    <row r="31" spans="1:16" ht="18.75" x14ac:dyDescent="0.3">
      <c r="A31" s="95" t="s">
        <v>173</v>
      </c>
      <c r="B31" s="28"/>
      <c r="C31" s="28"/>
      <c r="D31" s="146"/>
      <c r="E31" s="29"/>
      <c r="F31" s="30"/>
      <c r="G31" s="114" t="s">
        <v>143</v>
      </c>
      <c r="H31" s="115" t="s">
        <v>144</v>
      </c>
      <c r="I31" s="115" t="s">
        <v>145</v>
      </c>
      <c r="J31" s="115" t="s">
        <v>146</v>
      </c>
      <c r="K31" s="116" t="s">
        <v>147</v>
      </c>
      <c r="L31" s="30"/>
      <c r="M31" s="30"/>
      <c r="N31" s="30"/>
      <c r="O31" s="30"/>
      <c r="P31" s="38"/>
    </row>
    <row r="32" spans="1:16" x14ac:dyDescent="0.25">
      <c r="A32" s="29"/>
      <c r="B32" s="30"/>
      <c r="C32" s="30"/>
      <c r="D32" s="38"/>
      <c r="E32" s="29"/>
      <c r="F32" s="99" t="str">
        <f>CONCATENATE($H$5," ml or cm3 =")</f>
        <v>1 ml or cm3 =</v>
      </c>
      <c r="G32" s="207">
        <f>$H$5</f>
        <v>1</v>
      </c>
      <c r="H32" s="106">
        <f>$H$5/1000</f>
        <v>1E-3</v>
      </c>
      <c r="I32" s="203">
        <f>$H$5/1000000</f>
        <v>9.9999999999999995E-7</v>
      </c>
      <c r="J32" s="203">
        <f>$H$5/28317</f>
        <v>3.5314475403467882E-5</v>
      </c>
      <c r="K32" s="206">
        <f>$H$5/764554.8</f>
        <v>1.3079507185096476E-6</v>
      </c>
      <c r="L32" s="30"/>
      <c r="M32" s="30"/>
      <c r="N32" s="30"/>
      <c r="O32" s="30"/>
      <c r="P32" s="38"/>
    </row>
    <row r="33" spans="1:16" x14ac:dyDescent="0.25">
      <c r="A33" s="29"/>
      <c r="B33" s="30"/>
      <c r="C33" s="147" t="s">
        <v>172</v>
      </c>
      <c r="D33" s="38"/>
      <c r="E33" s="29"/>
      <c r="F33" s="100" t="str">
        <f>CONCATENATE($H$5," L or dm3 =")</f>
        <v>1 L or dm3 =</v>
      </c>
      <c r="G33" s="208">
        <f>$H$5*1000</f>
        <v>1000</v>
      </c>
      <c r="H33" s="31">
        <f>$H$5</f>
        <v>1</v>
      </c>
      <c r="I33" s="109">
        <f>$H$5/1000</f>
        <v>1E-3</v>
      </c>
      <c r="J33" s="109">
        <f>$H$5/28.317</f>
        <v>3.5314475403467882E-2</v>
      </c>
      <c r="K33" s="205">
        <f>$H$5/764.5548</f>
        <v>1.3079507185096476E-3</v>
      </c>
      <c r="L33" s="30"/>
      <c r="M33" s="30"/>
      <c r="N33" s="30"/>
      <c r="O33" s="30"/>
      <c r="P33" s="38"/>
    </row>
    <row r="34" spans="1:16" x14ac:dyDescent="0.25">
      <c r="A34" s="144" t="s">
        <v>171</v>
      </c>
      <c r="B34" s="145"/>
      <c r="C34" s="218">
        <v>50</v>
      </c>
      <c r="D34" s="38"/>
      <c r="E34" s="29"/>
      <c r="F34" s="100" t="str">
        <f>CONCATENATE($H$5," m3 =")</f>
        <v>1 m3 =</v>
      </c>
      <c r="G34" s="208">
        <f>$H$5*1000000</f>
        <v>1000000</v>
      </c>
      <c r="H34" s="31">
        <f>$H$5*1000</f>
        <v>1000</v>
      </c>
      <c r="I34" s="31">
        <f>$H$5</f>
        <v>1</v>
      </c>
      <c r="J34" s="98">
        <f>$H$5/0.028317</f>
        <v>35.314475403467881</v>
      </c>
      <c r="K34" s="209">
        <f>$H$5/0.7645548</f>
        <v>1.3079507185096477</v>
      </c>
      <c r="L34" s="30"/>
      <c r="M34" s="30"/>
      <c r="N34" s="30"/>
      <c r="O34" s="30"/>
      <c r="P34" s="38"/>
    </row>
    <row r="35" spans="1:16" x14ac:dyDescent="0.25">
      <c r="A35" s="144" t="s">
        <v>170</v>
      </c>
      <c r="B35" s="145"/>
      <c r="C35" s="148">
        <f>(0.9515*C34) + 5.5497</f>
        <v>53.124700000000004</v>
      </c>
      <c r="D35" s="38"/>
      <c r="E35" s="29"/>
      <c r="F35" s="100" t="str">
        <f>CONCATENATE($H$5," ft3 =")</f>
        <v>1 ft3 =</v>
      </c>
      <c r="G35" s="29">
        <f>$H$5*28317</f>
        <v>28317</v>
      </c>
      <c r="H35" s="98">
        <f>$H$5*28.317</f>
        <v>28.317</v>
      </c>
      <c r="I35" s="109">
        <f>$H$5*28.317/1000</f>
        <v>2.8317000000000002E-2</v>
      </c>
      <c r="J35" s="31">
        <f>$H$5</f>
        <v>1</v>
      </c>
      <c r="K35" s="110">
        <f>$H$5/27</f>
        <v>3.7037037037037035E-2</v>
      </c>
      <c r="L35" s="30"/>
      <c r="M35" s="30"/>
      <c r="N35" s="30"/>
      <c r="O35" s="30"/>
      <c r="P35" s="38"/>
    </row>
    <row r="36" spans="1:16" x14ac:dyDescent="0.25">
      <c r="A36" s="29"/>
      <c r="B36" s="30"/>
      <c r="C36" s="30"/>
      <c r="D36" s="38"/>
      <c r="E36" s="29"/>
      <c r="F36" s="16" t="str">
        <f>CONCATENATE($H$5," yd3 =")</f>
        <v>1 yd3 =</v>
      </c>
      <c r="G36" s="33">
        <f>$H$5*764.5548*1000</f>
        <v>764554.8</v>
      </c>
      <c r="H36" s="204">
        <f>$H$5*764.5548</f>
        <v>764.5548</v>
      </c>
      <c r="I36" s="112">
        <f>$H$5*764.5548/1000</f>
        <v>0.76455479999999998</v>
      </c>
      <c r="J36" s="35">
        <f>$H$5*27</f>
        <v>27</v>
      </c>
      <c r="K36" s="36">
        <f>$H$5</f>
        <v>1</v>
      </c>
      <c r="L36" s="30"/>
      <c r="M36" s="30"/>
      <c r="N36" s="30"/>
      <c r="O36" s="30"/>
      <c r="P36" s="38"/>
    </row>
    <row r="37" spans="1:16" x14ac:dyDescent="0.25">
      <c r="A37" s="33"/>
      <c r="B37" s="34"/>
      <c r="C37" s="34"/>
      <c r="D37" s="37"/>
      <c r="E37" s="33"/>
      <c r="F37" s="34"/>
      <c r="G37" s="34"/>
      <c r="H37" s="34"/>
      <c r="I37" s="34"/>
      <c r="J37" s="34"/>
      <c r="K37" s="34"/>
      <c r="L37" s="34"/>
      <c r="M37" s="34"/>
      <c r="N37" s="34"/>
      <c r="O37" s="34"/>
      <c r="P37" s="37"/>
    </row>
  </sheetData>
  <sheetProtection sheet="1" objects="1" scenarios="1" selectLockedCells="1"/>
  <mergeCells count="3">
    <mergeCell ref="G8:L8"/>
    <mergeCell ref="G18:O18"/>
    <mergeCell ref="G30:K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C204"/>
  <sheetViews>
    <sheetView showGridLines="0" zoomScaleNormal="100" workbookViewId="0">
      <selection activeCell="O24" sqref="O24"/>
    </sheetView>
  </sheetViews>
  <sheetFormatPr defaultRowHeight="15" x14ac:dyDescent="0.25"/>
  <cols>
    <col min="1" max="1" width="30.85546875" style="319" customWidth="1"/>
    <col min="2" max="2" width="14.28515625" style="483" customWidth="1"/>
    <col min="3" max="3" width="30.5703125" style="319" customWidth="1"/>
    <col min="4" max="4" width="33.85546875" style="319" customWidth="1"/>
    <col min="5" max="5" width="44.42578125" style="319" customWidth="1"/>
    <col min="6" max="6" width="9.7109375" style="320" customWidth="1"/>
    <col min="7" max="7" width="11.7109375" style="321" customWidth="1"/>
    <col min="8" max="8" width="21.42578125" style="320" customWidth="1"/>
    <col min="9" max="9" width="9.7109375" style="322" hidden="1" customWidth="1"/>
    <col min="10" max="10" width="9.7109375" style="319" hidden="1" customWidth="1"/>
    <col min="11" max="11" width="9.7109375" style="323" customWidth="1"/>
    <col min="12" max="14" width="9.7109375" style="319" customWidth="1"/>
    <col min="15" max="15" width="9.7109375" style="324" customWidth="1"/>
    <col min="16" max="17" width="9.7109375" style="319" customWidth="1"/>
    <col min="18" max="16384" width="9.140625" style="319"/>
  </cols>
  <sheetData>
    <row r="1" spans="1:17" s="483" customFormat="1" x14ac:dyDescent="0.25">
      <c r="A1" s="483" t="s">
        <v>27</v>
      </c>
      <c r="F1" s="484"/>
      <c r="G1" s="485"/>
      <c r="H1" s="484"/>
      <c r="I1" s="486"/>
      <c r="K1" s="487"/>
      <c r="O1" s="488"/>
    </row>
    <row r="2" spans="1:17" s="483" customFormat="1" x14ac:dyDescent="0.25">
      <c r="A2" s="483" t="s">
        <v>267</v>
      </c>
      <c r="F2" s="484"/>
      <c r="G2" s="485"/>
      <c r="H2" s="484"/>
      <c r="I2" s="486"/>
      <c r="K2" s="487"/>
      <c r="O2" s="488"/>
    </row>
    <row r="3" spans="1:17" s="483" customFormat="1" x14ac:dyDescent="0.25">
      <c r="A3" s="488" t="s">
        <v>268</v>
      </c>
      <c r="F3" s="484"/>
      <c r="G3" s="485"/>
      <c r="H3" s="484"/>
      <c r="I3" s="486"/>
      <c r="K3" s="487"/>
      <c r="O3" s="488"/>
    </row>
    <row r="4" spans="1:17" s="483" customFormat="1" x14ac:dyDescent="0.25">
      <c r="A4" s="488"/>
      <c r="F4" s="484"/>
      <c r="G4" s="485"/>
      <c r="H4" s="484"/>
      <c r="I4" s="486"/>
      <c r="K4" s="487"/>
      <c r="O4" s="488"/>
    </row>
    <row r="5" spans="1:17" s="483" customFormat="1" x14ac:dyDescent="0.25">
      <c r="A5" s="483" t="s">
        <v>194</v>
      </c>
      <c r="B5" s="503"/>
      <c r="F5" s="484"/>
      <c r="G5" s="485"/>
      <c r="H5" s="484"/>
      <c r="I5" s="486"/>
      <c r="K5" s="487"/>
      <c r="O5" s="488"/>
    </row>
    <row r="6" spans="1:17" s="483" customFormat="1" x14ac:dyDescent="0.25">
      <c r="A6" s="483" t="s">
        <v>180</v>
      </c>
      <c r="B6" s="503"/>
      <c r="D6" s="484"/>
      <c r="E6" s="484"/>
      <c r="F6" s="485"/>
      <c r="G6" s="484"/>
      <c r="H6" s="486"/>
      <c r="J6" s="507"/>
      <c r="K6" s="487"/>
      <c r="O6" s="488"/>
    </row>
    <row r="7" spans="1:17" s="483" customFormat="1" x14ac:dyDescent="0.25">
      <c r="A7" s="483" t="s">
        <v>206</v>
      </c>
      <c r="B7" s="503"/>
      <c r="D7" s="484"/>
      <c r="E7" s="484"/>
      <c r="F7" s="485"/>
      <c r="G7" s="484"/>
      <c r="H7" s="486"/>
      <c r="J7" s="507"/>
      <c r="K7" s="487"/>
      <c r="O7" s="488"/>
    </row>
    <row r="8" spans="1:17" s="483" customFormat="1" x14ac:dyDescent="0.25">
      <c r="F8" s="484"/>
      <c r="G8" s="485"/>
      <c r="H8" s="484"/>
      <c r="I8" s="486"/>
      <c r="K8" s="487"/>
      <c r="L8" s="581" t="s">
        <v>28</v>
      </c>
      <c r="M8" s="582"/>
      <c r="N8" s="583"/>
      <c r="O8" s="581" t="s">
        <v>29</v>
      </c>
      <c r="P8" s="582"/>
      <c r="Q8" s="583"/>
    </row>
    <row r="9" spans="1:17" s="483" customFormat="1" x14ac:dyDescent="0.25">
      <c r="A9" s="489" t="s">
        <v>10</v>
      </c>
      <c r="B9" s="490" t="s">
        <v>100</v>
      </c>
      <c r="C9" s="490" t="s">
        <v>232</v>
      </c>
      <c r="D9" s="491" t="s">
        <v>4</v>
      </c>
      <c r="E9" s="492" t="s">
        <v>244</v>
      </c>
      <c r="F9" s="493" t="s">
        <v>30</v>
      </c>
      <c r="G9" s="494" t="s">
        <v>42</v>
      </c>
      <c r="H9" s="495" t="s">
        <v>183</v>
      </c>
      <c r="I9" s="496" t="s">
        <v>0</v>
      </c>
      <c r="J9" s="497" t="s">
        <v>1</v>
      </c>
      <c r="K9" s="498" t="s">
        <v>227</v>
      </c>
      <c r="L9" s="499" t="s">
        <v>26</v>
      </c>
      <c r="M9" s="500" t="s">
        <v>2</v>
      </c>
      <c r="N9" s="501" t="s">
        <v>3</v>
      </c>
      <c r="O9" s="502" t="s">
        <v>226</v>
      </c>
      <c r="P9" s="500" t="s">
        <v>2</v>
      </c>
      <c r="Q9" s="501" t="s">
        <v>3</v>
      </c>
    </row>
    <row r="10" spans="1:17" ht="15" customHeight="1" x14ac:dyDescent="0.25">
      <c r="A10" s="584" t="s">
        <v>205</v>
      </c>
      <c r="B10" s="504">
        <f>IF(AND(C10&lt;&gt;"",D10&lt;&gt;""),ROW()-9,"")</f>
        <v>1</v>
      </c>
      <c r="C10" s="325" t="s">
        <v>242</v>
      </c>
      <c r="D10" s="326" t="s">
        <v>7</v>
      </c>
      <c r="E10" s="327" t="str">
        <f>C10&amp; ": " &amp;D10</f>
        <v>NCLE LT: Liquid Hog Manure (Gold)</v>
      </c>
      <c r="F10" s="328">
        <v>0.79355555555555457</v>
      </c>
      <c r="G10" s="329">
        <f>100-F10</f>
        <v>99.206444444444443</v>
      </c>
      <c r="H10" s="330" t="s">
        <v>161</v>
      </c>
      <c r="I10" s="331">
        <v>7.8441666666666663</v>
      </c>
      <c r="J10" s="332">
        <v>12243</v>
      </c>
      <c r="K10" s="333">
        <v>3.054694319332421</v>
      </c>
      <c r="L10" s="334">
        <v>0.33</v>
      </c>
      <c r="M10" s="335">
        <v>0.11</v>
      </c>
      <c r="N10" s="336">
        <v>0.02</v>
      </c>
      <c r="O10" s="337">
        <f>L10*100/F10</f>
        <v>41.58499019882391</v>
      </c>
      <c r="P10" s="338">
        <f>M10*100/F10</f>
        <v>13.86166339960797</v>
      </c>
      <c r="Q10" s="339">
        <f>N10*100/F10</f>
        <v>2.5203024362923583</v>
      </c>
    </row>
    <row r="11" spans="1:17" x14ac:dyDescent="0.25">
      <c r="A11" s="585"/>
      <c r="B11" s="504">
        <f t="shared" ref="B11:B74" si="0">IF(AND(C11&lt;&gt;"",D11&lt;&gt;""),ROW()-9,"")</f>
        <v>2</v>
      </c>
      <c r="C11" s="340" t="s">
        <v>242</v>
      </c>
      <c r="D11" s="341" t="s">
        <v>8</v>
      </c>
      <c r="E11" s="342" t="str">
        <f t="shared" ref="E11:E60" si="1">C11&amp; ": " &amp;D11</f>
        <v>NCLE LT: Solid Dairy Manure</v>
      </c>
      <c r="F11" s="343">
        <v>21.126799999999999</v>
      </c>
      <c r="G11" s="344">
        <f>100-F11</f>
        <v>78.873199999999997</v>
      </c>
      <c r="H11" s="345" t="s">
        <v>162</v>
      </c>
      <c r="I11" s="346">
        <v>8.2033333333333349</v>
      </c>
      <c r="J11" s="347">
        <v>5650</v>
      </c>
      <c r="K11" s="348">
        <v>16.173970738346373</v>
      </c>
      <c r="L11" s="349">
        <v>8.8699999999999992</v>
      </c>
      <c r="M11" s="350">
        <v>0.55000000000000004</v>
      </c>
      <c r="N11" s="351">
        <v>0.18</v>
      </c>
      <c r="O11" s="352">
        <f>L11*100/F11</f>
        <v>41.984588295435181</v>
      </c>
      <c r="P11" s="353">
        <f>M11*100/F11</f>
        <v>2.6033284737868492</v>
      </c>
      <c r="Q11" s="354">
        <f>N11*100/F11</f>
        <v>0.8519984096029688</v>
      </c>
    </row>
    <row r="12" spans="1:17" x14ac:dyDescent="0.25">
      <c r="A12" s="585"/>
      <c r="B12" s="504">
        <f t="shared" si="0"/>
        <v>3</v>
      </c>
      <c r="C12" s="340" t="s">
        <v>242</v>
      </c>
      <c r="D12" s="341" t="s">
        <v>9</v>
      </c>
      <c r="E12" s="342" t="str">
        <f t="shared" si="1"/>
        <v>NCLE LT: Solid Hog Manure</v>
      </c>
      <c r="F12" s="343">
        <v>34.865266666666663</v>
      </c>
      <c r="G12" s="344">
        <f>100-F12</f>
        <v>65.134733333333344</v>
      </c>
      <c r="H12" s="345" t="s">
        <v>163</v>
      </c>
      <c r="I12" s="346">
        <v>8.5133333333333336</v>
      </c>
      <c r="J12" s="347">
        <v>5952.5</v>
      </c>
      <c r="K12" s="348">
        <v>21.373915497343475</v>
      </c>
      <c r="L12" s="349">
        <v>14.64</v>
      </c>
      <c r="M12" s="350">
        <v>0.69</v>
      </c>
      <c r="N12" s="351">
        <v>0.36</v>
      </c>
      <c r="O12" s="352">
        <f>L12*100/F12</f>
        <v>41.990213756192894</v>
      </c>
      <c r="P12" s="353">
        <f>M12*100/F12</f>
        <v>1.9790469598205667</v>
      </c>
      <c r="Q12" s="354">
        <f>N12*100/F12</f>
        <v>1.0325462399063825</v>
      </c>
    </row>
    <row r="13" spans="1:17" x14ac:dyDescent="0.25">
      <c r="A13" s="585"/>
      <c r="B13" s="504">
        <f t="shared" si="0"/>
        <v>4</v>
      </c>
      <c r="C13" s="340" t="s">
        <v>242</v>
      </c>
      <c r="D13" s="355" t="s">
        <v>222</v>
      </c>
      <c r="E13" s="342" t="str">
        <f t="shared" si="1"/>
        <v>NCLE LT: Immature HRS Wheat (Fresh Cut)</v>
      </c>
      <c r="F13" s="356">
        <f>100-G13</f>
        <v>17.400000000000006</v>
      </c>
      <c r="G13" s="357">
        <v>82.6</v>
      </c>
      <c r="H13" s="358" t="s">
        <v>175</v>
      </c>
      <c r="I13" s="359"/>
      <c r="J13" s="360"/>
      <c r="K13" s="361">
        <v>17.100000000000001</v>
      </c>
      <c r="L13" s="362"/>
      <c r="M13" s="359"/>
      <c r="N13" s="363"/>
      <c r="O13" s="352">
        <v>44.5</v>
      </c>
      <c r="P13" s="353">
        <v>2.6</v>
      </c>
      <c r="Q13" s="354">
        <v>0.4</v>
      </c>
    </row>
    <row r="14" spans="1:17" x14ac:dyDescent="0.25">
      <c r="A14" s="585"/>
      <c r="B14" s="504">
        <f t="shared" si="0"/>
        <v>5</v>
      </c>
      <c r="C14" s="340" t="s">
        <v>242</v>
      </c>
      <c r="D14" s="355" t="s">
        <v>221</v>
      </c>
      <c r="E14" s="342" t="str">
        <f t="shared" si="1"/>
        <v>NCLE LT: Immature Rapeseed (Fresh Cut)</v>
      </c>
      <c r="F14" s="356">
        <f t="shared" ref="F14:F22" si="2">100-G14</f>
        <v>22.989999999999995</v>
      </c>
      <c r="G14" s="364">
        <v>77.010000000000005</v>
      </c>
      <c r="H14" s="365" t="s">
        <v>164</v>
      </c>
      <c r="I14" s="359"/>
      <c r="J14" s="360"/>
      <c r="K14" s="366">
        <v>22.74</v>
      </c>
      <c r="L14" s="362"/>
      <c r="M14" s="359"/>
      <c r="N14" s="363"/>
      <c r="O14" s="352">
        <v>44.5</v>
      </c>
      <c r="P14" s="353">
        <v>1.95733125</v>
      </c>
      <c r="Q14" s="354">
        <v>0.41074166666666667</v>
      </c>
    </row>
    <row r="15" spans="1:17" x14ac:dyDescent="0.25">
      <c r="A15" s="585"/>
      <c r="B15" s="504">
        <f t="shared" si="0"/>
        <v>6</v>
      </c>
      <c r="C15" s="340" t="s">
        <v>242</v>
      </c>
      <c r="D15" s="355" t="s">
        <v>192</v>
      </c>
      <c r="E15" s="342" t="str">
        <f t="shared" si="1"/>
        <v>NCLE LT: Barley Silage (Fresh Cut Est Moisture)</v>
      </c>
      <c r="F15" s="356">
        <f t="shared" si="2"/>
        <v>35</v>
      </c>
      <c r="G15" s="367">
        <v>65</v>
      </c>
      <c r="H15" s="368"/>
      <c r="I15" s="359"/>
      <c r="J15" s="360"/>
      <c r="K15" s="361">
        <v>28.74</v>
      </c>
      <c r="L15" s="362"/>
      <c r="M15" s="359"/>
      <c r="N15" s="363"/>
      <c r="O15" s="352">
        <v>44.5</v>
      </c>
      <c r="P15" s="353">
        <v>1.5484635416666666</v>
      </c>
      <c r="Q15" s="354">
        <v>0.28957031249999998</v>
      </c>
    </row>
    <row r="16" spans="1:17" x14ac:dyDescent="0.25">
      <c r="A16" s="585"/>
      <c r="B16" s="504">
        <f t="shared" si="0"/>
        <v>7</v>
      </c>
      <c r="C16" s="340" t="s">
        <v>242</v>
      </c>
      <c r="D16" s="355" t="s">
        <v>220</v>
      </c>
      <c r="E16" s="342" t="str">
        <f t="shared" si="1"/>
        <v>NCLE LT: Non-Legume Hay (Fresh Cut)</v>
      </c>
      <c r="F16" s="356">
        <f t="shared" si="2"/>
        <v>33.299999999999997</v>
      </c>
      <c r="G16" s="369">
        <v>66.7</v>
      </c>
      <c r="H16" s="370" t="s">
        <v>166</v>
      </c>
      <c r="I16" s="359"/>
      <c r="J16" s="360"/>
      <c r="K16" s="366">
        <v>37.776666666666671</v>
      </c>
      <c r="L16" s="362"/>
      <c r="M16" s="359"/>
      <c r="N16" s="363"/>
      <c r="O16" s="371">
        <v>44.5</v>
      </c>
      <c r="P16" s="353">
        <v>1.2310663194444444</v>
      </c>
      <c r="Q16" s="354">
        <v>0.24489996527777813</v>
      </c>
    </row>
    <row r="17" spans="1:17" x14ac:dyDescent="0.25">
      <c r="A17" s="585"/>
      <c r="B17" s="504">
        <f t="shared" si="0"/>
        <v>8</v>
      </c>
      <c r="C17" s="340" t="s">
        <v>242</v>
      </c>
      <c r="D17" s="355" t="s">
        <v>223</v>
      </c>
      <c r="E17" s="342" t="str">
        <f t="shared" si="1"/>
        <v>NCLE LT: Immature Feed Wheat (Fresh Cut)</v>
      </c>
      <c r="F17" s="356">
        <f t="shared" si="2"/>
        <v>31</v>
      </c>
      <c r="G17" s="364">
        <v>69</v>
      </c>
      <c r="H17" s="370" t="s">
        <v>165</v>
      </c>
      <c r="I17" s="359"/>
      <c r="J17" s="360"/>
      <c r="K17" s="361">
        <v>40.01</v>
      </c>
      <c r="L17" s="362"/>
      <c r="M17" s="359"/>
      <c r="N17" s="363"/>
      <c r="O17" s="352">
        <v>44.5</v>
      </c>
      <c r="P17" s="353">
        <v>1.1121583333333336</v>
      </c>
      <c r="Q17" s="354">
        <v>0.24397291666666665</v>
      </c>
    </row>
    <row r="18" spans="1:17" x14ac:dyDescent="0.25">
      <c r="A18" s="585"/>
      <c r="B18" s="504">
        <f t="shared" si="0"/>
        <v>9</v>
      </c>
      <c r="C18" s="340" t="s">
        <v>242</v>
      </c>
      <c r="D18" s="355" t="s">
        <v>224</v>
      </c>
      <c r="E18" s="342" t="str">
        <f t="shared" si="1"/>
        <v>NCLE LT: HRS Wheat (Seed Est Moisture)</v>
      </c>
      <c r="F18" s="372">
        <f t="shared" si="2"/>
        <v>90</v>
      </c>
      <c r="G18" s="373">
        <v>10</v>
      </c>
      <c r="H18" s="370"/>
      <c r="I18" s="374"/>
      <c r="J18" s="375"/>
      <c r="K18" s="376">
        <v>18.8</v>
      </c>
      <c r="L18" s="377"/>
      <c r="M18" s="374"/>
      <c r="N18" s="378"/>
      <c r="O18" s="379">
        <v>42.2</v>
      </c>
      <c r="P18" s="380">
        <v>2.2999999999999998</v>
      </c>
      <c r="Q18" s="381"/>
    </row>
    <row r="19" spans="1:17" x14ac:dyDescent="0.25">
      <c r="A19" s="585"/>
      <c r="B19" s="504">
        <f t="shared" si="0"/>
        <v>10</v>
      </c>
      <c r="C19" s="340" t="s">
        <v>242</v>
      </c>
      <c r="D19" s="355" t="s">
        <v>225</v>
      </c>
      <c r="E19" s="342" t="str">
        <f t="shared" si="1"/>
        <v>NCLE LT: Rapeseed (Seed Est Moisture)</v>
      </c>
      <c r="F19" s="372">
        <f t="shared" si="2"/>
        <v>90</v>
      </c>
      <c r="G19" s="373">
        <v>10</v>
      </c>
      <c r="H19" s="370"/>
      <c r="I19" s="374"/>
      <c r="J19" s="375"/>
      <c r="K19" s="376">
        <v>13.1</v>
      </c>
      <c r="L19" s="377"/>
      <c r="M19" s="374"/>
      <c r="N19" s="378"/>
      <c r="O19" s="379">
        <v>41.2</v>
      </c>
      <c r="P19" s="380">
        <v>3.3</v>
      </c>
      <c r="Q19" s="381"/>
    </row>
    <row r="20" spans="1:17" x14ac:dyDescent="0.25">
      <c r="A20" s="585"/>
      <c r="B20" s="504">
        <f t="shared" si="0"/>
        <v>11</v>
      </c>
      <c r="C20" s="340" t="s">
        <v>242</v>
      </c>
      <c r="D20" s="382" t="s">
        <v>5</v>
      </c>
      <c r="E20" s="342" t="str">
        <f t="shared" si="1"/>
        <v>NCLE LT: Feed Wheat Straw</v>
      </c>
      <c r="F20" s="356">
        <f t="shared" si="2"/>
        <v>59.9</v>
      </c>
      <c r="G20" s="364">
        <v>40.1</v>
      </c>
      <c r="H20" s="383" t="s">
        <v>167</v>
      </c>
      <c r="I20" s="374"/>
      <c r="J20" s="375"/>
      <c r="K20" s="376">
        <v>81</v>
      </c>
      <c r="L20" s="377"/>
      <c r="M20" s="374"/>
      <c r="N20" s="378"/>
      <c r="O20" s="379">
        <v>47</v>
      </c>
      <c r="P20" s="380">
        <v>0.58025833333333321</v>
      </c>
      <c r="Q20" s="381">
        <v>0.18679791666666667</v>
      </c>
    </row>
    <row r="21" spans="1:17" x14ac:dyDescent="0.25">
      <c r="A21" s="585"/>
      <c r="B21" s="504">
        <f t="shared" si="0"/>
        <v>12</v>
      </c>
      <c r="C21" s="340" t="s">
        <v>242</v>
      </c>
      <c r="D21" s="384" t="s">
        <v>177</v>
      </c>
      <c r="E21" s="342" t="str">
        <f t="shared" si="1"/>
        <v>NCLE LT: HRS Wheat Straw</v>
      </c>
      <c r="F21" s="356">
        <f t="shared" si="2"/>
        <v>88.4</v>
      </c>
      <c r="G21" s="385">
        <v>11.6</v>
      </c>
      <c r="H21" s="386" t="s">
        <v>176</v>
      </c>
      <c r="I21" s="387"/>
      <c r="J21" s="388"/>
      <c r="K21" s="389">
        <v>106.9</v>
      </c>
      <c r="L21" s="390"/>
      <c r="M21" s="387"/>
      <c r="N21" s="388"/>
      <c r="O21" s="352">
        <v>47</v>
      </c>
      <c r="P21" s="353">
        <v>0.44</v>
      </c>
      <c r="Q21" s="354">
        <v>7.0000000000000007E-2</v>
      </c>
    </row>
    <row r="22" spans="1:17" x14ac:dyDescent="0.25">
      <c r="A22" s="586"/>
      <c r="B22" s="504">
        <f t="shared" si="0"/>
        <v>13</v>
      </c>
      <c r="C22" s="391" t="s">
        <v>242</v>
      </c>
      <c r="D22" s="392" t="s">
        <v>6</v>
      </c>
      <c r="E22" s="393" t="str">
        <f t="shared" si="1"/>
        <v>NCLE LT: Rapeseed Residue</v>
      </c>
      <c r="F22" s="356">
        <f t="shared" si="2"/>
        <v>39.54</v>
      </c>
      <c r="G22" s="394">
        <v>60.46</v>
      </c>
      <c r="H22" s="395" t="s">
        <v>168</v>
      </c>
      <c r="I22" s="396"/>
      <c r="J22" s="397"/>
      <c r="K22" s="398">
        <v>110.77</v>
      </c>
      <c r="L22" s="399"/>
      <c r="M22" s="396"/>
      <c r="N22" s="400"/>
      <c r="O22" s="401">
        <v>47</v>
      </c>
      <c r="P22" s="402">
        <v>0.4243020833333333</v>
      </c>
      <c r="Q22" s="403">
        <v>0.14243541666666668</v>
      </c>
    </row>
    <row r="23" spans="1:17" x14ac:dyDescent="0.25">
      <c r="A23" s="404" t="s">
        <v>199</v>
      </c>
      <c r="B23" s="504">
        <f t="shared" si="0"/>
        <v>14</v>
      </c>
      <c r="C23" s="405" t="s">
        <v>243</v>
      </c>
      <c r="D23" s="406" t="s">
        <v>238</v>
      </c>
      <c r="E23" s="327" t="str">
        <f t="shared" si="1"/>
        <v>Tri-Prov: Liquid Hog Manure</v>
      </c>
      <c r="F23" s="407">
        <v>3.4</v>
      </c>
      <c r="G23" s="408">
        <f>100-F23</f>
        <v>96.6</v>
      </c>
      <c r="H23" s="409" t="s">
        <v>195</v>
      </c>
      <c r="I23" s="410"/>
      <c r="J23" s="411"/>
      <c r="K23" s="412">
        <f>O23/P23</f>
        <v>4.6064516129032258</v>
      </c>
      <c r="L23" s="413">
        <f>F23*O23/100</f>
        <v>1.4279999999999999</v>
      </c>
      <c r="M23" s="338">
        <v>0.31</v>
      </c>
      <c r="N23" s="414"/>
      <c r="O23" s="337">
        <v>42</v>
      </c>
      <c r="P23" s="338">
        <f>M23*100/F23</f>
        <v>9.117647058823529</v>
      </c>
      <c r="Q23" s="339"/>
    </row>
    <row r="24" spans="1:17" x14ac:dyDescent="0.25">
      <c r="A24" s="404"/>
      <c r="B24" s="504">
        <f t="shared" si="0"/>
        <v>15</v>
      </c>
      <c r="C24" s="415" t="s">
        <v>243</v>
      </c>
      <c r="D24" s="355" t="s">
        <v>239</v>
      </c>
      <c r="E24" s="342" t="str">
        <f t="shared" si="1"/>
        <v>Tri-Prov: Liquid Dairy Manure</v>
      </c>
      <c r="F24" s="356">
        <v>8.9</v>
      </c>
      <c r="G24" s="416">
        <f t="shared" ref="G24:G26" si="3">100-F24</f>
        <v>91.1</v>
      </c>
      <c r="H24" s="417" t="s">
        <v>196</v>
      </c>
      <c r="I24" s="359"/>
      <c r="J24" s="360"/>
      <c r="K24" s="366">
        <f>O24/P24</f>
        <v>10.994117647058824</v>
      </c>
      <c r="L24" s="418">
        <f>F24*O24/100</f>
        <v>3.738</v>
      </c>
      <c r="M24" s="353">
        <v>0.34</v>
      </c>
      <c r="N24" s="419"/>
      <c r="O24" s="352">
        <v>42</v>
      </c>
      <c r="P24" s="353">
        <f>M24*100/F24</f>
        <v>3.8202247191011236</v>
      </c>
      <c r="Q24" s="354"/>
    </row>
    <row r="25" spans="1:17" x14ac:dyDescent="0.25">
      <c r="A25" s="404"/>
      <c r="B25" s="504">
        <f t="shared" si="0"/>
        <v>16</v>
      </c>
      <c r="C25" s="415" t="s">
        <v>243</v>
      </c>
      <c r="D25" s="355" t="s">
        <v>240</v>
      </c>
      <c r="E25" s="342" t="str">
        <f t="shared" si="1"/>
        <v>Tri-Prov: Solid Beef Manure</v>
      </c>
      <c r="F25" s="356">
        <v>26.4</v>
      </c>
      <c r="G25" s="416">
        <f t="shared" si="3"/>
        <v>73.599999999999994</v>
      </c>
      <c r="H25" s="417" t="s">
        <v>197</v>
      </c>
      <c r="I25" s="359"/>
      <c r="J25" s="360"/>
      <c r="K25" s="366">
        <f>O25/P25</f>
        <v>18.479999999999997</v>
      </c>
      <c r="L25" s="418">
        <f>F25*O25/100</f>
        <v>11.087999999999999</v>
      </c>
      <c r="M25" s="353">
        <v>0.6</v>
      </c>
      <c r="N25" s="419"/>
      <c r="O25" s="352">
        <v>42</v>
      </c>
      <c r="P25" s="353">
        <f>M25*100/F25</f>
        <v>2.2727272727272729</v>
      </c>
      <c r="Q25" s="354"/>
    </row>
    <row r="26" spans="1:17" x14ac:dyDescent="0.25">
      <c r="A26" s="404"/>
      <c r="B26" s="504">
        <f t="shared" si="0"/>
        <v>17</v>
      </c>
      <c r="C26" s="415" t="s">
        <v>243</v>
      </c>
      <c r="D26" s="355" t="s">
        <v>241</v>
      </c>
      <c r="E26" s="342" t="str">
        <f t="shared" si="1"/>
        <v>Tri-Prov: Liquid Poultry Manure</v>
      </c>
      <c r="F26" s="356">
        <v>9.1</v>
      </c>
      <c r="G26" s="416">
        <f t="shared" si="3"/>
        <v>90.9</v>
      </c>
      <c r="H26" s="417" t="s">
        <v>198</v>
      </c>
      <c r="I26" s="359"/>
      <c r="J26" s="360"/>
      <c r="K26" s="366">
        <f>O26/P26</f>
        <v>4.7774999999999999</v>
      </c>
      <c r="L26" s="418">
        <f>F26*O26/100</f>
        <v>3.8220000000000001</v>
      </c>
      <c r="M26" s="353">
        <v>0.8</v>
      </c>
      <c r="N26" s="419"/>
      <c r="O26" s="352">
        <v>42</v>
      </c>
      <c r="P26" s="353">
        <f>M26*100/F26</f>
        <v>8.791208791208792</v>
      </c>
      <c r="Q26" s="354"/>
    </row>
    <row r="27" spans="1:17" x14ac:dyDescent="0.25">
      <c r="A27" s="420"/>
      <c r="B27" s="504">
        <f t="shared" si="0"/>
        <v>18</v>
      </c>
      <c r="C27" s="421" t="s">
        <v>233</v>
      </c>
      <c r="D27" s="422" t="s">
        <v>193</v>
      </c>
      <c r="E27" s="393" t="str">
        <f t="shared" si="1"/>
        <v>Book: Woodchips</v>
      </c>
      <c r="F27" s="423">
        <f>100-G27</f>
        <v>67.2</v>
      </c>
      <c r="G27" s="394">
        <v>32.799999999999997</v>
      </c>
      <c r="H27" s="395"/>
      <c r="I27" s="396"/>
      <c r="J27" s="397"/>
      <c r="K27" s="398">
        <v>350</v>
      </c>
      <c r="L27" s="424">
        <f>F27*O27/100</f>
        <v>31.584</v>
      </c>
      <c r="M27" s="402">
        <f>L27/K27</f>
        <v>9.0240000000000001E-2</v>
      </c>
      <c r="N27" s="425"/>
      <c r="O27" s="401">
        <v>47</v>
      </c>
      <c r="P27" s="402">
        <f>O27/K27</f>
        <v>0.13428571428571429</v>
      </c>
      <c r="Q27" s="403"/>
    </row>
    <row r="28" spans="1:17" x14ac:dyDescent="0.25">
      <c r="A28" s="404" t="s">
        <v>237</v>
      </c>
      <c r="B28" s="504">
        <f t="shared" si="0"/>
        <v>19</v>
      </c>
      <c r="C28" s="426" t="s">
        <v>234</v>
      </c>
      <c r="D28" s="427" t="s">
        <v>186</v>
      </c>
      <c r="E28" s="428" t="str">
        <f t="shared" si="1"/>
        <v>Est. : Drywall</v>
      </c>
      <c r="F28" s="429">
        <f>100-G28</f>
        <v>99.5</v>
      </c>
      <c r="G28" s="430">
        <v>0.5</v>
      </c>
      <c r="H28" s="431"/>
      <c r="I28" s="431"/>
      <c r="J28" s="432"/>
      <c r="K28" s="433">
        <v>350</v>
      </c>
      <c r="L28" s="434">
        <v>3.3</v>
      </c>
      <c r="M28" s="435">
        <f>L28/K28</f>
        <v>9.4285714285714285E-3</v>
      </c>
      <c r="N28" s="436"/>
      <c r="O28" s="437">
        <f>L28*100/F28</f>
        <v>3.3165829145728645</v>
      </c>
      <c r="P28" s="438">
        <f>M28*100/F28</f>
        <v>9.4759511844938974E-3</v>
      </c>
      <c r="Q28" s="432"/>
    </row>
    <row r="29" spans="1:17" ht="15" customHeight="1" x14ac:dyDescent="0.25">
      <c r="A29" s="578" t="s">
        <v>182</v>
      </c>
      <c r="B29" s="504">
        <f t="shared" si="0"/>
        <v>20</v>
      </c>
      <c r="C29" s="325" t="s">
        <v>235</v>
      </c>
      <c r="D29" s="439" t="s">
        <v>18</v>
      </c>
      <c r="E29" s="327" t="str">
        <f t="shared" si="1"/>
        <v>Op Manual (Paul &amp; Geesing): Non-Legume Hay</v>
      </c>
      <c r="F29" s="440"/>
      <c r="G29" s="441"/>
      <c r="H29" s="440"/>
      <c r="I29" s="442"/>
      <c r="J29" s="443"/>
      <c r="K29" s="444">
        <v>30</v>
      </c>
      <c r="L29" s="445"/>
      <c r="M29" s="446"/>
      <c r="N29" s="447"/>
      <c r="O29" s="448">
        <f t="shared" ref="O29:O43" si="4">K29*P29</f>
        <v>39</v>
      </c>
      <c r="P29" s="338">
        <v>1.3</v>
      </c>
      <c r="Q29" s="339"/>
    </row>
    <row r="30" spans="1:17" x14ac:dyDescent="0.25">
      <c r="A30" s="579"/>
      <c r="B30" s="504">
        <f t="shared" si="0"/>
        <v>21</v>
      </c>
      <c r="C30" s="340" t="s">
        <v>235</v>
      </c>
      <c r="D30" s="382" t="s">
        <v>19</v>
      </c>
      <c r="E30" s="342" t="str">
        <f t="shared" si="1"/>
        <v>Op Manual (Paul &amp; Geesing): Legume Hay</v>
      </c>
      <c r="F30" s="449"/>
      <c r="G30" s="369"/>
      <c r="H30" s="449"/>
      <c r="I30" s="387"/>
      <c r="J30" s="450"/>
      <c r="K30" s="451">
        <v>16</v>
      </c>
      <c r="L30" s="452"/>
      <c r="M30" s="453"/>
      <c r="N30" s="454"/>
      <c r="O30" s="455">
        <f t="shared" si="4"/>
        <v>40</v>
      </c>
      <c r="P30" s="353">
        <v>2.5</v>
      </c>
      <c r="Q30" s="354"/>
    </row>
    <row r="31" spans="1:17" x14ac:dyDescent="0.25">
      <c r="A31" s="579"/>
      <c r="B31" s="504">
        <f t="shared" si="0"/>
        <v>22</v>
      </c>
      <c r="C31" s="340" t="s">
        <v>235</v>
      </c>
      <c r="D31" s="382" t="s">
        <v>20</v>
      </c>
      <c r="E31" s="342" t="str">
        <f t="shared" si="1"/>
        <v>Op Manual (Paul &amp; Geesing): General Hay</v>
      </c>
      <c r="F31" s="449"/>
      <c r="G31" s="369"/>
      <c r="H31" s="449"/>
      <c r="I31" s="387"/>
      <c r="J31" s="450"/>
      <c r="K31" s="456">
        <f>AVERAGE(15,35)</f>
        <v>25</v>
      </c>
      <c r="L31" s="452"/>
      <c r="M31" s="453"/>
      <c r="N31" s="454"/>
      <c r="O31" s="455">
        <f t="shared" si="4"/>
        <v>53.75</v>
      </c>
      <c r="P31" s="353">
        <f>AVERAGE(0.7,3.6)</f>
        <v>2.15</v>
      </c>
      <c r="Q31" s="354"/>
    </row>
    <row r="32" spans="1:17" x14ac:dyDescent="0.25">
      <c r="A32" s="579"/>
      <c r="B32" s="504">
        <f t="shared" si="0"/>
        <v>23</v>
      </c>
      <c r="C32" s="340" t="s">
        <v>235</v>
      </c>
      <c r="D32" s="382" t="s">
        <v>21</v>
      </c>
      <c r="E32" s="342" t="str">
        <f t="shared" si="1"/>
        <v>Op Manual (Paul &amp; Geesing): General Straw</v>
      </c>
      <c r="F32" s="449"/>
      <c r="G32" s="369"/>
      <c r="H32" s="449"/>
      <c r="I32" s="387"/>
      <c r="J32" s="450"/>
      <c r="K32" s="456">
        <v>80</v>
      </c>
      <c r="L32" s="452"/>
      <c r="M32" s="453"/>
      <c r="N32" s="454"/>
      <c r="O32" s="455">
        <f t="shared" si="4"/>
        <v>56</v>
      </c>
      <c r="P32" s="353">
        <v>0.7</v>
      </c>
      <c r="Q32" s="354"/>
    </row>
    <row r="33" spans="1:17" x14ac:dyDescent="0.25">
      <c r="A33" s="579"/>
      <c r="B33" s="504">
        <f t="shared" si="0"/>
        <v>24</v>
      </c>
      <c r="C33" s="340" t="s">
        <v>235</v>
      </c>
      <c r="D33" s="382" t="s">
        <v>22</v>
      </c>
      <c r="E33" s="342" t="str">
        <f t="shared" si="1"/>
        <v>Op Manual (Paul &amp; Geesing): Oat Straw</v>
      </c>
      <c r="F33" s="449"/>
      <c r="G33" s="369"/>
      <c r="H33" s="449"/>
      <c r="I33" s="387"/>
      <c r="J33" s="450"/>
      <c r="K33" s="456">
        <v>60</v>
      </c>
      <c r="L33" s="452"/>
      <c r="M33" s="453"/>
      <c r="N33" s="454"/>
      <c r="O33" s="455">
        <f t="shared" si="4"/>
        <v>54</v>
      </c>
      <c r="P33" s="353">
        <v>0.9</v>
      </c>
      <c r="Q33" s="354"/>
    </row>
    <row r="34" spans="1:17" x14ac:dyDescent="0.25">
      <c r="A34" s="579"/>
      <c r="B34" s="504">
        <f t="shared" si="0"/>
        <v>25</v>
      </c>
      <c r="C34" s="340" t="s">
        <v>235</v>
      </c>
      <c r="D34" s="382" t="s">
        <v>23</v>
      </c>
      <c r="E34" s="342" t="str">
        <f t="shared" si="1"/>
        <v>Op Manual (Paul &amp; Geesing): Wheat Straw</v>
      </c>
      <c r="F34" s="449"/>
      <c r="G34" s="369"/>
      <c r="H34" s="449"/>
      <c r="I34" s="387"/>
      <c r="J34" s="450"/>
      <c r="K34" s="456">
        <v>130</v>
      </c>
      <c r="L34" s="452"/>
      <c r="M34" s="453"/>
      <c r="N34" s="454"/>
      <c r="O34" s="455">
        <f t="shared" si="4"/>
        <v>52</v>
      </c>
      <c r="P34" s="353">
        <v>0.4</v>
      </c>
      <c r="Q34" s="354"/>
    </row>
    <row r="35" spans="1:17" x14ac:dyDescent="0.25">
      <c r="A35" s="579"/>
      <c r="B35" s="504">
        <f t="shared" si="0"/>
        <v>26</v>
      </c>
      <c r="C35" s="340" t="s">
        <v>235</v>
      </c>
      <c r="D35" s="382" t="s">
        <v>11</v>
      </c>
      <c r="E35" s="342" t="str">
        <f t="shared" si="1"/>
        <v>Op Manual (Paul &amp; Geesing): Corn Stalks</v>
      </c>
      <c r="F35" s="356"/>
      <c r="G35" s="364"/>
      <c r="H35" s="356"/>
      <c r="I35" s="353"/>
      <c r="J35" s="450"/>
      <c r="K35" s="451">
        <v>70</v>
      </c>
      <c r="L35" s="452"/>
      <c r="M35" s="453"/>
      <c r="N35" s="454"/>
      <c r="O35" s="455">
        <f t="shared" si="4"/>
        <v>49</v>
      </c>
      <c r="P35" s="353">
        <v>0.7</v>
      </c>
      <c r="Q35" s="354"/>
    </row>
    <row r="36" spans="1:17" x14ac:dyDescent="0.25">
      <c r="A36" s="579"/>
      <c r="B36" s="504">
        <f t="shared" si="0"/>
        <v>27</v>
      </c>
      <c r="C36" s="340" t="s">
        <v>235</v>
      </c>
      <c r="D36" s="382" t="s">
        <v>12</v>
      </c>
      <c r="E36" s="342" t="str">
        <f t="shared" si="1"/>
        <v>Op Manual (Paul &amp; Geesing): Corn Cobs</v>
      </c>
      <c r="F36" s="356"/>
      <c r="G36" s="364"/>
      <c r="H36" s="356"/>
      <c r="I36" s="353"/>
      <c r="J36" s="450"/>
      <c r="K36" s="457">
        <v>100</v>
      </c>
      <c r="L36" s="452"/>
      <c r="M36" s="453"/>
      <c r="N36" s="454"/>
      <c r="O36" s="455">
        <f t="shared" si="4"/>
        <v>60</v>
      </c>
      <c r="P36" s="353">
        <v>0.6</v>
      </c>
      <c r="Q36" s="354"/>
    </row>
    <row r="37" spans="1:17" x14ac:dyDescent="0.25">
      <c r="A37" s="579"/>
      <c r="B37" s="504">
        <f t="shared" si="0"/>
        <v>28</v>
      </c>
      <c r="C37" s="340" t="s">
        <v>235</v>
      </c>
      <c r="D37" s="382" t="s">
        <v>17</v>
      </c>
      <c r="E37" s="342" t="str">
        <f t="shared" si="1"/>
        <v>Op Manual (Paul &amp; Geesing): Corn Silage</v>
      </c>
      <c r="F37" s="356"/>
      <c r="G37" s="364"/>
      <c r="H37" s="356"/>
      <c r="I37" s="353"/>
      <c r="J37" s="450"/>
      <c r="K37" s="451">
        <v>41</v>
      </c>
      <c r="L37" s="452"/>
      <c r="M37" s="453"/>
      <c r="N37" s="454"/>
      <c r="O37" s="455">
        <f t="shared" si="4"/>
        <v>53.300000000000004</v>
      </c>
      <c r="P37" s="353">
        <v>1.3</v>
      </c>
      <c r="Q37" s="354"/>
    </row>
    <row r="38" spans="1:17" x14ac:dyDescent="0.25">
      <c r="A38" s="579"/>
      <c r="B38" s="504">
        <f t="shared" si="0"/>
        <v>29</v>
      </c>
      <c r="C38" s="340" t="s">
        <v>235</v>
      </c>
      <c r="D38" s="382" t="s">
        <v>24</v>
      </c>
      <c r="E38" s="342" t="str">
        <f t="shared" si="1"/>
        <v>Op Manual (Paul &amp; Geesing): Grass Clippings</v>
      </c>
      <c r="F38" s="449"/>
      <c r="G38" s="369"/>
      <c r="H38" s="449"/>
      <c r="I38" s="387"/>
      <c r="J38" s="450"/>
      <c r="K38" s="456">
        <v>17</v>
      </c>
      <c r="L38" s="452"/>
      <c r="M38" s="453"/>
      <c r="N38" s="454"/>
      <c r="O38" s="455">
        <f t="shared" si="4"/>
        <v>57.8</v>
      </c>
      <c r="P38" s="353">
        <v>3.4</v>
      </c>
      <c r="Q38" s="354"/>
    </row>
    <row r="39" spans="1:17" x14ac:dyDescent="0.25">
      <c r="A39" s="579"/>
      <c r="B39" s="504">
        <f t="shared" si="0"/>
        <v>30</v>
      </c>
      <c r="C39" s="340" t="s">
        <v>235</v>
      </c>
      <c r="D39" s="382" t="s">
        <v>25</v>
      </c>
      <c r="E39" s="342" t="str">
        <f t="shared" si="1"/>
        <v>Op Manual (Paul &amp; Geesing): Leaves</v>
      </c>
      <c r="F39" s="449"/>
      <c r="G39" s="369"/>
      <c r="H39" s="449"/>
      <c r="I39" s="387"/>
      <c r="J39" s="450"/>
      <c r="K39" s="456">
        <v>55</v>
      </c>
      <c r="L39" s="452"/>
      <c r="M39" s="453"/>
      <c r="N39" s="454"/>
      <c r="O39" s="455">
        <f t="shared" si="4"/>
        <v>49.5</v>
      </c>
      <c r="P39" s="353">
        <v>0.9</v>
      </c>
      <c r="Q39" s="354"/>
    </row>
    <row r="40" spans="1:17" x14ac:dyDescent="0.25">
      <c r="A40" s="579"/>
      <c r="B40" s="504">
        <f t="shared" si="0"/>
        <v>31</v>
      </c>
      <c r="C40" s="340" t="s">
        <v>235</v>
      </c>
      <c r="D40" s="382" t="s">
        <v>14</v>
      </c>
      <c r="E40" s="342" t="str">
        <f t="shared" si="1"/>
        <v>Op Manual (Paul &amp; Geesing): Swine Manure</v>
      </c>
      <c r="F40" s="356"/>
      <c r="G40" s="364"/>
      <c r="H40" s="356"/>
      <c r="I40" s="353"/>
      <c r="J40" s="450"/>
      <c r="K40" s="457">
        <v>14</v>
      </c>
      <c r="L40" s="452"/>
      <c r="M40" s="453"/>
      <c r="N40" s="454"/>
      <c r="O40" s="455">
        <f t="shared" si="4"/>
        <v>43.4</v>
      </c>
      <c r="P40" s="353">
        <v>3.1</v>
      </c>
      <c r="Q40" s="354"/>
    </row>
    <row r="41" spans="1:17" x14ac:dyDescent="0.25">
      <c r="A41" s="579"/>
      <c r="B41" s="504">
        <f t="shared" si="0"/>
        <v>32</v>
      </c>
      <c r="C41" s="340" t="s">
        <v>235</v>
      </c>
      <c r="D41" s="382" t="s">
        <v>15</v>
      </c>
      <c r="E41" s="342" t="str">
        <f t="shared" si="1"/>
        <v>Op Manual (Paul &amp; Geesing): Swine Manure Slurry</v>
      </c>
      <c r="F41" s="356"/>
      <c r="G41" s="364"/>
      <c r="H41" s="356"/>
      <c r="I41" s="353"/>
      <c r="J41" s="450"/>
      <c r="K41" s="451">
        <v>20</v>
      </c>
      <c r="L41" s="452"/>
      <c r="M41" s="453"/>
      <c r="N41" s="454"/>
      <c r="O41" s="455">
        <f t="shared" si="4"/>
        <v>51.5</v>
      </c>
      <c r="P41" s="353">
        <f>AVERAGE(0.15, 5)</f>
        <v>2.5750000000000002</v>
      </c>
      <c r="Q41" s="354"/>
    </row>
    <row r="42" spans="1:17" x14ac:dyDescent="0.25">
      <c r="A42" s="579"/>
      <c r="B42" s="504">
        <f t="shared" si="0"/>
        <v>33</v>
      </c>
      <c r="C42" s="340" t="s">
        <v>235</v>
      </c>
      <c r="D42" s="382" t="s">
        <v>13</v>
      </c>
      <c r="E42" s="342" t="str">
        <f t="shared" si="1"/>
        <v>Op Manual (Paul &amp; Geesing): Poultry Litter</v>
      </c>
      <c r="F42" s="356"/>
      <c r="G42" s="364"/>
      <c r="H42" s="356"/>
      <c r="I42" s="353"/>
      <c r="J42" s="450"/>
      <c r="K42" s="451">
        <v>16</v>
      </c>
      <c r="L42" s="452"/>
      <c r="M42" s="453"/>
      <c r="N42" s="454"/>
      <c r="O42" s="455">
        <f t="shared" si="4"/>
        <v>43.2</v>
      </c>
      <c r="P42" s="353">
        <v>2.7</v>
      </c>
      <c r="Q42" s="354"/>
    </row>
    <row r="43" spans="1:17" x14ac:dyDescent="0.25">
      <c r="A43" s="580"/>
      <c r="B43" s="504">
        <f t="shared" si="0"/>
        <v>34</v>
      </c>
      <c r="C43" s="391" t="s">
        <v>235</v>
      </c>
      <c r="D43" s="392" t="s">
        <v>16</v>
      </c>
      <c r="E43" s="393" t="str">
        <f t="shared" si="1"/>
        <v>Op Manual (Paul &amp; Geesing): Poultry Carcasses</v>
      </c>
      <c r="F43" s="423"/>
      <c r="G43" s="458"/>
      <c r="H43" s="423"/>
      <c r="I43" s="402"/>
      <c r="J43" s="459"/>
      <c r="K43" s="460">
        <v>5</v>
      </c>
      <c r="L43" s="461"/>
      <c r="M43" s="462"/>
      <c r="N43" s="463"/>
      <c r="O43" s="464">
        <f t="shared" si="4"/>
        <v>12</v>
      </c>
      <c r="P43" s="402">
        <v>2.4</v>
      </c>
      <c r="Q43" s="403"/>
    </row>
    <row r="44" spans="1:17" ht="15" customHeight="1" x14ac:dyDescent="0.25">
      <c r="A44" s="578" t="s">
        <v>181</v>
      </c>
      <c r="B44" s="504">
        <f t="shared" si="0"/>
        <v>35</v>
      </c>
      <c r="C44" s="325" t="s">
        <v>236</v>
      </c>
      <c r="D44" s="465" t="s">
        <v>31</v>
      </c>
      <c r="E44" s="327" t="str">
        <f t="shared" si="1"/>
        <v>Op Manual (Comp Council): Urine</v>
      </c>
      <c r="F44" s="440"/>
      <c r="G44" s="441"/>
      <c r="H44" s="440"/>
      <c r="I44" s="442"/>
      <c r="J44" s="443"/>
      <c r="K44" s="466">
        <v>0.8</v>
      </c>
      <c r="L44" s="467"/>
      <c r="M44" s="468"/>
      <c r="N44" s="469"/>
      <c r="O44" s="470"/>
      <c r="P44" s="442"/>
      <c r="Q44" s="471"/>
    </row>
    <row r="45" spans="1:17" x14ac:dyDescent="0.25">
      <c r="A45" s="579"/>
      <c r="B45" s="504">
        <f t="shared" si="0"/>
        <v>36</v>
      </c>
      <c r="C45" s="340" t="s">
        <v>236</v>
      </c>
      <c r="D45" s="384" t="s">
        <v>32</v>
      </c>
      <c r="E45" s="342" t="str">
        <f t="shared" si="1"/>
        <v>Op Manual (Comp Council): Cow Manure</v>
      </c>
      <c r="F45" s="449"/>
      <c r="G45" s="369"/>
      <c r="H45" s="449"/>
      <c r="I45" s="387"/>
      <c r="J45" s="450"/>
      <c r="K45" s="456">
        <v>18</v>
      </c>
      <c r="L45" s="472"/>
      <c r="M45" s="473"/>
      <c r="N45" s="474"/>
      <c r="O45" s="475"/>
      <c r="P45" s="387"/>
      <c r="Q45" s="388"/>
    </row>
    <row r="46" spans="1:17" x14ac:dyDescent="0.25">
      <c r="A46" s="579"/>
      <c r="B46" s="504">
        <f t="shared" si="0"/>
        <v>37</v>
      </c>
      <c r="C46" s="340" t="s">
        <v>236</v>
      </c>
      <c r="D46" s="384" t="s">
        <v>33</v>
      </c>
      <c r="E46" s="342" t="str">
        <f t="shared" si="1"/>
        <v>Op Manual (Comp Council): Poultry Manure</v>
      </c>
      <c r="F46" s="449"/>
      <c r="G46" s="369"/>
      <c r="H46" s="449"/>
      <c r="I46" s="387"/>
      <c r="J46" s="450"/>
      <c r="K46" s="456">
        <v>15</v>
      </c>
      <c r="L46" s="472"/>
      <c r="M46" s="473"/>
      <c r="N46" s="474"/>
      <c r="O46" s="475"/>
      <c r="P46" s="387"/>
      <c r="Q46" s="388"/>
    </row>
    <row r="47" spans="1:17" x14ac:dyDescent="0.25">
      <c r="A47" s="579"/>
      <c r="B47" s="504">
        <f t="shared" si="0"/>
        <v>38</v>
      </c>
      <c r="C47" s="340" t="s">
        <v>236</v>
      </c>
      <c r="D47" s="384" t="s">
        <v>34</v>
      </c>
      <c r="E47" s="342" t="str">
        <f t="shared" si="1"/>
        <v xml:space="preserve">Op Manual (Comp Council): Grass Clippings </v>
      </c>
      <c r="F47" s="449"/>
      <c r="G47" s="369"/>
      <c r="H47" s="449"/>
      <c r="I47" s="387"/>
      <c r="J47" s="450"/>
      <c r="K47" s="456">
        <v>13.5</v>
      </c>
      <c r="L47" s="472"/>
      <c r="M47" s="473"/>
      <c r="N47" s="474"/>
      <c r="O47" s="475"/>
      <c r="P47" s="387"/>
      <c r="Q47" s="388"/>
    </row>
    <row r="48" spans="1:17" x14ac:dyDescent="0.25">
      <c r="A48" s="579"/>
      <c r="B48" s="504">
        <f t="shared" si="0"/>
        <v>39</v>
      </c>
      <c r="C48" s="340" t="s">
        <v>236</v>
      </c>
      <c r="D48" s="384" t="s">
        <v>35</v>
      </c>
      <c r="E48" s="342" t="str">
        <f t="shared" si="1"/>
        <v>Op Manual (Comp Council): Dry Leaves</v>
      </c>
      <c r="F48" s="449"/>
      <c r="G48" s="369"/>
      <c r="H48" s="449"/>
      <c r="I48" s="387"/>
      <c r="J48" s="450"/>
      <c r="K48" s="456">
        <v>40</v>
      </c>
      <c r="L48" s="472"/>
      <c r="M48" s="473"/>
      <c r="N48" s="474"/>
      <c r="O48" s="475"/>
      <c r="P48" s="387"/>
      <c r="Q48" s="388"/>
    </row>
    <row r="49" spans="1:29" x14ac:dyDescent="0.25">
      <c r="A49" s="579"/>
      <c r="B49" s="504">
        <f t="shared" si="0"/>
        <v>40</v>
      </c>
      <c r="C49" s="340" t="s">
        <v>236</v>
      </c>
      <c r="D49" s="384" t="s">
        <v>23</v>
      </c>
      <c r="E49" s="342" t="str">
        <f t="shared" si="1"/>
        <v>Op Manual (Comp Council): Wheat Straw</v>
      </c>
      <c r="F49" s="449"/>
      <c r="G49" s="369"/>
      <c r="H49" s="449"/>
      <c r="I49" s="387"/>
      <c r="J49" s="450"/>
      <c r="K49" s="456">
        <f>AVERAGE(128,150)</f>
        <v>139</v>
      </c>
      <c r="L49" s="472"/>
      <c r="M49" s="473"/>
      <c r="N49" s="474"/>
      <c r="O49" s="475"/>
      <c r="P49" s="387"/>
      <c r="Q49" s="388"/>
    </row>
    <row r="50" spans="1:29" x14ac:dyDescent="0.25">
      <c r="A50" s="579"/>
      <c r="B50" s="504">
        <f t="shared" si="0"/>
        <v>41</v>
      </c>
      <c r="C50" s="340" t="s">
        <v>236</v>
      </c>
      <c r="D50" s="476" t="s">
        <v>36</v>
      </c>
      <c r="E50" s="342" t="str">
        <f t="shared" si="1"/>
        <v>Op Manual (Comp Council): Paper and Wood</v>
      </c>
      <c r="F50" s="356"/>
      <c r="G50" s="364"/>
      <c r="H50" s="356"/>
      <c r="I50" s="353"/>
      <c r="J50" s="450"/>
      <c r="K50" s="456">
        <v>200</v>
      </c>
      <c r="L50" s="477"/>
      <c r="M50" s="473"/>
      <c r="N50" s="454"/>
      <c r="O50" s="452"/>
      <c r="P50" s="353"/>
      <c r="Q50" s="388"/>
    </row>
    <row r="51" spans="1:29" x14ac:dyDescent="0.25">
      <c r="A51" s="580"/>
      <c r="B51" s="505">
        <f t="shared" si="0"/>
        <v>42</v>
      </c>
      <c r="C51" s="391" t="s">
        <v>236</v>
      </c>
      <c r="D51" s="478" t="s">
        <v>37</v>
      </c>
      <c r="E51" s="516" t="str">
        <f t="shared" si="1"/>
        <v>Op Manual (Comp Council): Sawdust</v>
      </c>
      <c r="F51" s="509"/>
      <c r="G51" s="509"/>
      <c r="H51" s="509"/>
      <c r="I51" s="510"/>
      <c r="J51" s="481"/>
      <c r="K51" s="479">
        <v>350</v>
      </c>
      <c r="L51" s="480"/>
      <c r="M51" s="481"/>
      <c r="N51" s="463"/>
      <c r="O51" s="461"/>
      <c r="P51" s="510"/>
      <c r="Q51" s="511"/>
      <c r="R51" s="512"/>
      <c r="S51" s="512"/>
      <c r="T51" s="512"/>
      <c r="U51" s="512"/>
      <c r="V51" s="512"/>
      <c r="W51" s="512"/>
      <c r="X51" s="512"/>
      <c r="Y51" s="512"/>
      <c r="Z51" s="512"/>
      <c r="AA51" s="512"/>
      <c r="AB51" s="512"/>
      <c r="AC51" s="512"/>
    </row>
    <row r="52" spans="1:29" x14ac:dyDescent="0.25">
      <c r="A52" s="575" t="s">
        <v>278</v>
      </c>
      <c r="B52" s="505">
        <f t="shared" si="0"/>
        <v>43</v>
      </c>
      <c r="C52" s="325" t="s">
        <v>279</v>
      </c>
      <c r="D52" s="517" t="s">
        <v>271</v>
      </c>
      <c r="E52" s="520" t="str">
        <f t="shared" si="1"/>
        <v>Lab Analysis: Solid Dairy Replacement</v>
      </c>
      <c r="F52" s="445">
        <v>23.599999999999994</v>
      </c>
      <c r="G52" s="446">
        <v>76.400000000000006</v>
      </c>
      <c r="H52" s="446"/>
      <c r="I52" s="446"/>
      <c r="J52" s="547"/>
      <c r="K52" s="548">
        <v>19</v>
      </c>
      <c r="L52" s="445">
        <v>8.6942399999999989</v>
      </c>
      <c r="M52" s="446">
        <v>0.52100000000000002</v>
      </c>
      <c r="N52" s="447">
        <v>0.12239999999999999</v>
      </c>
      <c r="O52" s="525">
        <v>36.840000000000003</v>
      </c>
      <c r="P52" s="549">
        <v>2.2076271186440679</v>
      </c>
      <c r="Q52" s="447">
        <v>0.5186440677966101</v>
      </c>
      <c r="R52" s="512"/>
      <c r="S52" s="512"/>
      <c r="T52" s="512"/>
      <c r="U52" s="512"/>
      <c r="V52" s="512"/>
      <c r="W52" s="512"/>
      <c r="X52" s="512"/>
      <c r="Y52" s="512"/>
      <c r="Z52" s="512"/>
      <c r="AA52" s="512"/>
      <c r="AB52" s="512"/>
      <c r="AC52" s="512"/>
    </row>
    <row r="53" spans="1:29" x14ac:dyDescent="0.25">
      <c r="A53" s="576"/>
      <c r="B53" s="505">
        <f t="shared" si="0"/>
        <v>44</v>
      </c>
      <c r="C53" s="340" t="s">
        <v>279</v>
      </c>
      <c r="D53" s="518" t="s">
        <v>272</v>
      </c>
      <c r="E53" s="521" t="str">
        <f t="shared" si="1"/>
        <v>Lab Analysis: Solid Dairy Molehill</v>
      </c>
      <c r="F53" s="452">
        <v>19.299999999999997</v>
      </c>
      <c r="G53" s="453">
        <v>80.7</v>
      </c>
      <c r="H53" s="453"/>
      <c r="I53" s="453"/>
      <c r="J53" s="550"/>
      <c r="K53" s="551">
        <v>32</v>
      </c>
      <c r="L53" s="452">
        <v>9.356639999999997</v>
      </c>
      <c r="M53" s="453">
        <v>0.56599999999999995</v>
      </c>
      <c r="N53" s="454">
        <v>8.7900000000000006E-2</v>
      </c>
      <c r="O53" s="552">
        <v>48.48</v>
      </c>
      <c r="P53" s="553">
        <v>2.9326424870466319</v>
      </c>
      <c r="Q53" s="454">
        <v>0.45544041450777206</v>
      </c>
      <c r="R53" s="512"/>
      <c r="S53" s="512"/>
      <c r="T53" s="512"/>
      <c r="U53" s="512"/>
      <c r="V53" s="512"/>
      <c r="W53" s="512"/>
      <c r="X53" s="512"/>
      <c r="Y53" s="512"/>
      <c r="Z53" s="512"/>
      <c r="AA53" s="512"/>
      <c r="AB53" s="512"/>
      <c r="AC53" s="512"/>
    </row>
    <row r="54" spans="1:29" x14ac:dyDescent="0.25">
      <c r="A54" s="576"/>
      <c r="B54" s="505">
        <f t="shared" si="0"/>
        <v>45</v>
      </c>
      <c r="C54" s="340" t="s">
        <v>279</v>
      </c>
      <c r="D54" s="518" t="s">
        <v>272</v>
      </c>
      <c r="E54" s="521" t="str">
        <f t="shared" si="1"/>
        <v>Lab Analysis: Solid Dairy Molehill</v>
      </c>
      <c r="F54" s="452">
        <v>20.799999999999997</v>
      </c>
      <c r="G54" s="453">
        <v>79.2</v>
      </c>
      <c r="H54" s="453"/>
      <c r="I54" s="453"/>
      <c r="J54" s="550"/>
      <c r="K54" s="551">
        <v>24</v>
      </c>
      <c r="L54" s="452">
        <v>9.7739199999999986</v>
      </c>
      <c r="M54" s="453">
        <v>0.54400000000000004</v>
      </c>
      <c r="N54" s="454">
        <v>0.11799999999999999</v>
      </c>
      <c r="O54" s="552">
        <v>46.99</v>
      </c>
      <c r="P54" s="553">
        <v>2.6153846153846154</v>
      </c>
      <c r="Q54" s="454">
        <v>0.56730769230769229</v>
      </c>
      <c r="R54" s="512"/>
      <c r="S54" s="512"/>
      <c r="T54" s="512"/>
      <c r="U54" s="512"/>
      <c r="V54" s="512"/>
      <c r="W54" s="512"/>
      <c r="X54" s="512"/>
      <c r="Y54" s="512"/>
      <c r="Z54" s="512"/>
      <c r="AA54" s="512"/>
      <c r="AB54" s="512"/>
      <c r="AC54" s="512"/>
    </row>
    <row r="55" spans="1:29" x14ac:dyDescent="0.25">
      <c r="A55" s="576"/>
      <c r="B55" s="505">
        <f t="shared" si="0"/>
        <v>46</v>
      </c>
      <c r="C55" s="340" t="s">
        <v>279</v>
      </c>
      <c r="D55" s="518" t="s">
        <v>273</v>
      </c>
      <c r="E55" s="521" t="str">
        <f t="shared" si="1"/>
        <v>Lab Analysis: Elm Woodchips</v>
      </c>
      <c r="F55" s="452">
        <v>50.8</v>
      </c>
      <c r="G55" s="453">
        <v>49.2</v>
      </c>
      <c r="H55" s="453"/>
      <c r="I55" s="453"/>
      <c r="J55" s="550"/>
      <c r="K55" s="551">
        <v>104</v>
      </c>
      <c r="L55" s="452">
        <v>25.8064</v>
      </c>
      <c r="M55" s="453">
        <v>0.249</v>
      </c>
      <c r="N55" s="454">
        <v>3.5299999999999998E-2</v>
      </c>
      <c r="O55" s="552">
        <v>50.8</v>
      </c>
      <c r="P55" s="553">
        <v>0.49015748031496065</v>
      </c>
      <c r="Q55" s="454">
        <v>6.9488188976377957E-2</v>
      </c>
      <c r="R55" s="512"/>
      <c r="S55" s="512"/>
      <c r="T55" s="512"/>
      <c r="U55" s="512"/>
      <c r="V55" s="512"/>
      <c r="W55" s="512"/>
      <c r="X55" s="512"/>
      <c r="Y55" s="512"/>
      <c r="Z55" s="512"/>
      <c r="AA55" s="512"/>
      <c r="AB55" s="512"/>
      <c r="AC55" s="512"/>
    </row>
    <row r="56" spans="1:29" x14ac:dyDescent="0.25">
      <c r="A56" s="576"/>
      <c r="B56" s="505">
        <f t="shared" si="0"/>
        <v>47</v>
      </c>
      <c r="C56" s="340" t="s">
        <v>279</v>
      </c>
      <c r="D56" s="518" t="s">
        <v>272</v>
      </c>
      <c r="E56" s="521" t="str">
        <f t="shared" si="1"/>
        <v>Lab Analysis: Solid Dairy Molehill</v>
      </c>
      <c r="F56" s="452">
        <v>21.200000000000003</v>
      </c>
      <c r="G56" s="453">
        <v>78.8</v>
      </c>
      <c r="H56" s="453"/>
      <c r="I56" s="453"/>
      <c r="J56" s="550"/>
      <c r="K56" s="551">
        <v>15</v>
      </c>
      <c r="L56" s="452">
        <v>9.200800000000001</v>
      </c>
      <c r="M56" s="453">
        <v>0.66400000000000003</v>
      </c>
      <c r="N56" s="454">
        <v>0.2177</v>
      </c>
      <c r="O56" s="552">
        <v>43.4</v>
      </c>
      <c r="P56" s="553">
        <v>3.1320754716981134</v>
      </c>
      <c r="Q56" s="454">
        <v>1.0268867924528302</v>
      </c>
      <c r="R56" s="512"/>
      <c r="S56" s="512"/>
      <c r="T56" s="512"/>
      <c r="U56" s="512"/>
      <c r="V56" s="512"/>
      <c r="W56" s="512"/>
      <c r="X56" s="512"/>
      <c r="Y56" s="512"/>
      <c r="Z56" s="512"/>
      <c r="AA56" s="512"/>
      <c r="AB56" s="512"/>
      <c r="AC56" s="512"/>
    </row>
    <row r="57" spans="1:29" x14ac:dyDescent="0.25">
      <c r="A57" s="576"/>
      <c r="B57" s="505">
        <f t="shared" si="0"/>
        <v>48</v>
      </c>
      <c r="C57" s="340" t="s">
        <v>279</v>
      </c>
      <c r="D57" s="518" t="s">
        <v>274</v>
      </c>
      <c r="E57" s="521" t="str">
        <f t="shared" si="1"/>
        <v>Lab Analysis: Blended Manure + Woodchips</v>
      </c>
      <c r="F57" s="452">
        <v>29.799999999999997</v>
      </c>
      <c r="G57" s="453">
        <v>70.2</v>
      </c>
      <c r="H57" s="453"/>
      <c r="I57" s="453"/>
      <c r="J57" s="550"/>
      <c r="K57" s="551">
        <v>25</v>
      </c>
      <c r="L57" s="452">
        <v>11.541539999999998</v>
      </c>
      <c r="M57" s="453">
        <v>0.55700000000000005</v>
      </c>
      <c r="N57" s="454">
        <v>0.19520000000000001</v>
      </c>
      <c r="O57" s="552">
        <v>38.729999999999997</v>
      </c>
      <c r="P57" s="553">
        <v>1.8691275167785235</v>
      </c>
      <c r="Q57" s="454">
        <v>0.65503355704697985</v>
      </c>
      <c r="R57" s="512"/>
      <c r="S57" s="512"/>
      <c r="T57" s="512"/>
      <c r="U57" s="512"/>
      <c r="V57" s="512"/>
      <c r="W57" s="512"/>
      <c r="X57" s="512"/>
      <c r="Y57" s="512"/>
      <c r="Z57" s="512"/>
      <c r="AA57" s="512"/>
      <c r="AB57" s="512"/>
      <c r="AC57" s="512"/>
    </row>
    <row r="58" spans="1:29" x14ac:dyDescent="0.25">
      <c r="A58" s="576"/>
      <c r="B58" s="505">
        <f t="shared" si="0"/>
        <v>49</v>
      </c>
      <c r="C58" s="340" t="s">
        <v>279</v>
      </c>
      <c r="D58" s="518" t="s">
        <v>275</v>
      </c>
      <c r="E58" s="521" t="str">
        <f t="shared" si="1"/>
        <v>Lab Analysis: Hay</v>
      </c>
      <c r="F58" s="452">
        <v>85.7</v>
      </c>
      <c r="G58" s="453">
        <v>14.299999999999997</v>
      </c>
      <c r="H58" s="453"/>
      <c r="I58" s="453"/>
      <c r="J58" s="550"/>
      <c r="K58" s="551">
        <v>21</v>
      </c>
      <c r="L58" s="452">
        <v>42.018709999999999</v>
      </c>
      <c r="M58" s="453">
        <v>1.9810000000000001</v>
      </c>
      <c r="N58" s="454">
        <v>0.23780000000000001</v>
      </c>
      <c r="O58" s="552">
        <v>49.03</v>
      </c>
      <c r="P58" s="553">
        <v>2.3115519253208872</v>
      </c>
      <c r="Q58" s="454">
        <v>0.27747957992998834</v>
      </c>
      <c r="R58" s="512"/>
      <c r="S58" s="512"/>
      <c r="T58" s="512"/>
      <c r="U58" s="512"/>
      <c r="V58" s="512"/>
      <c r="W58" s="512"/>
      <c r="X58" s="512"/>
      <c r="Y58" s="512"/>
      <c r="Z58" s="512"/>
      <c r="AA58" s="512"/>
      <c r="AB58" s="512"/>
      <c r="AC58" s="512"/>
    </row>
    <row r="59" spans="1:29" x14ac:dyDescent="0.25">
      <c r="A59" s="576"/>
      <c r="B59" s="505">
        <f t="shared" si="0"/>
        <v>50</v>
      </c>
      <c r="C59" s="340" t="s">
        <v>279</v>
      </c>
      <c r="D59" s="518" t="s">
        <v>276</v>
      </c>
      <c r="E59" s="521" t="str">
        <f t="shared" si="1"/>
        <v>Lab Analysis: Blended Manure + Hay</v>
      </c>
      <c r="F59" s="452">
        <v>30.700000000000003</v>
      </c>
      <c r="G59" s="453">
        <v>69.3</v>
      </c>
      <c r="H59" s="453"/>
      <c r="I59" s="453"/>
      <c r="J59" s="550"/>
      <c r="K59" s="551">
        <v>25</v>
      </c>
      <c r="L59" s="452">
        <v>14.852660000000004</v>
      </c>
      <c r="M59" s="453">
        <v>0.61</v>
      </c>
      <c r="N59" s="454">
        <v>0.1361</v>
      </c>
      <c r="O59" s="552">
        <v>48.38</v>
      </c>
      <c r="P59" s="553">
        <v>1.9869706840390879</v>
      </c>
      <c r="Q59" s="454">
        <v>0.44332247557003257</v>
      </c>
      <c r="R59" s="512"/>
      <c r="S59" s="512"/>
      <c r="T59" s="512"/>
      <c r="U59" s="512"/>
      <c r="V59" s="512"/>
      <c r="W59" s="512"/>
      <c r="X59" s="512"/>
      <c r="Y59" s="512"/>
      <c r="Z59" s="512"/>
      <c r="AA59" s="512"/>
      <c r="AB59" s="512"/>
      <c r="AC59" s="512"/>
    </row>
    <row r="60" spans="1:29" x14ac:dyDescent="0.25">
      <c r="A60" s="577"/>
      <c r="B60" s="505">
        <f t="shared" si="0"/>
        <v>51</v>
      </c>
      <c r="C60" s="391" t="s">
        <v>279</v>
      </c>
      <c r="D60" s="519" t="s">
        <v>277</v>
      </c>
      <c r="E60" s="522" t="str">
        <f t="shared" si="1"/>
        <v>Lab Analysis: Canola Meal</v>
      </c>
      <c r="F60" s="461">
        <v>91.4</v>
      </c>
      <c r="G60" s="462">
        <v>8.5999999999999943</v>
      </c>
      <c r="H60" s="462"/>
      <c r="I60" s="462"/>
      <c r="J60" s="554"/>
      <c r="K60" s="555">
        <v>7</v>
      </c>
      <c r="L60" s="461">
        <v>47.007020000000004</v>
      </c>
      <c r="M60" s="462">
        <v>7.0709999999999997</v>
      </c>
      <c r="N60" s="463">
        <v>1.5444</v>
      </c>
      <c r="O60" s="509">
        <v>51.43</v>
      </c>
      <c r="P60" s="556">
        <v>7.7363238512035011</v>
      </c>
      <c r="Q60" s="463">
        <v>1.6897155361050327</v>
      </c>
      <c r="R60" s="512"/>
      <c r="S60" s="512"/>
      <c r="T60" s="512"/>
      <c r="U60" s="512"/>
      <c r="V60" s="512"/>
      <c r="W60" s="512"/>
      <c r="X60" s="512"/>
      <c r="Y60" s="512"/>
      <c r="Z60" s="512"/>
      <c r="AA60" s="512"/>
      <c r="AB60" s="512"/>
      <c r="AC60" s="512"/>
    </row>
    <row r="61" spans="1:29" x14ac:dyDescent="0.25">
      <c r="A61" s="508" t="s">
        <v>270</v>
      </c>
      <c r="B61" s="505" t="str">
        <f t="shared" si="0"/>
        <v/>
      </c>
      <c r="C61" s="465"/>
      <c r="D61" s="526"/>
      <c r="E61" s="520"/>
      <c r="F61" s="445"/>
      <c r="G61" s="446"/>
      <c r="H61" s="540"/>
      <c r="I61" s="467"/>
      <c r="J61" s="523"/>
      <c r="K61" s="535"/>
      <c r="L61" s="470"/>
      <c r="M61" s="523"/>
      <c r="N61" s="469"/>
      <c r="O61" s="467"/>
      <c r="P61" s="523"/>
      <c r="Q61" s="469"/>
      <c r="R61" s="512"/>
      <c r="S61" s="512"/>
      <c r="T61" s="512"/>
      <c r="U61" s="512"/>
      <c r="V61" s="512"/>
      <c r="W61" s="512"/>
      <c r="X61" s="512"/>
      <c r="Y61" s="512"/>
      <c r="Z61" s="512"/>
      <c r="AA61" s="512"/>
      <c r="AB61" s="512"/>
      <c r="AC61" s="512"/>
    </row>
    <row r="62" spans="1:29" x14ac:dyDescent="0.25">
      <c r="A62" s="527" t="s">
        <v>280</v>
      </c>
      <c r="B62" s="505" t="str">
        <f t="shared" si="0"/>
        <v/>
      </c>
      <c r="C62" s="384"/>
      <c r="D62" s="518"/>
      <c r="E62" s="521"/>
      <c r="F62" s="452"/>
      <c r="G62" s="453"/>
      <c r="H62" s="541"/>
      <c r="I62" s="472"/>
      <c r="J62" s="524"/>
      <c r="K62" s="536"/>
      <c r="L62" s="475"/>
      <c r="M62" s="524"/>
      <c r="N62" s="474"/>
      <c r="O62" s="472"/>
      <c r="P62" s="524"/>
      <c r="Q62" s="474"/>
      <c r="R62" s="512"/>
      <c r="S62" s="512"/>
      <c r="T62" s="512"/>
      <c r="U62" s="512"/>
      <c r="V62" s="512"/>
      <c r="W62" s="512"/>
      <c r="X62" s="512"/>
      <c r="Y62" s="512"/>
      <c r="Z62" s="512"/>
      <c r="AA62" s="512"/>
      <c r="AB62" s="512"/>
      <c r="AC62" s="512"/>
    </row>
    <row r="63" spans="1:29" x14ac:dyDescent="0.25">
      <c r="A63" s="527" t="s">
        <v>280</v>
      </c>
      <c r="B63" s="505" t="str">
        <f t="shared" si="0"/>
        <v/>
      </c>
      <c r="C63" s="384"/>
      <c r="D63" s="518"/>
      <c r="E63" s="543"/>
      <c r="F63" s="452"/>
      <c r="G63" s="453"/>
      <c r="H63" s="541"/>
      <c r="I63" s="472"/>
      <c r="J63" s="524"/>
      <c r="K63" s="536"/>
      <c r="L63" s="475"/>
      <c r="M63" s="524"/>
      <c r="N63" s="474"/>
      <c r="O63" s="472"/>
      <c r="P63" s="524"/>
      <c r="Q63" s="474"/>
      <c r="R63" s="512"/>
      <c r="S63" s="512"/>
      <c r="T63" s="512"/>
      <c r="U63" s="512"/>
      <c r="V63" s="512"/>
      <c r="W63" s="512"/>
      <c r="X63" s="512"/>
      <c r="Y63" s="512"/>
      <c r="Z63" s="512"/>
      <c r="AA63" s="512"/>
      <c r="AB63" s="512"/>
      <c r="AC63" s="512"/>
    </row>
    <row r="64" spans="1:29" x14ac:dyDescent="0.25">
      <c r="A64" s="527" t="s">
        <v>281</v>
      </c>
      <c r="B64" s="505" t="str">
        <f t="shared" si="0"/>
        <v/>
      </c>
      <c r="C64" s="384"/>
      <c r="D64" s="518"/>
      <c r="E64" s="543"/>
      <c r="F64" s="452"/>
      <c r="G64" s="453"/>
      <c r="H64" s="541"/>
      <c r="I64" s="472"/>
      <c r="J64" s="524"/>
      <c r="K64" s="536"/>
      <c r="L64" s="475"/>
      <c r="M64" s="524"/>
      <c r="N64" s="474"/>
      <c r="O64" s="472"/>
      <c r="P64" s="524"/>
      <c r="Q64" s="474"/>
      <c r="R64" s="512"/>
      <c r="S64" s="512"/>
      <c r="T64" s="512"/>
      <c r="U64" s="512"/>
      <c r="V64" s="512"/>
      <c r="W64" s="512"/>
      <c r="X64" s="512"/>
      <c r="Y64" s="512"/>
      <c r="Z64" s="512"/>
      <c r="AA64" s="512"/>
      <c r="AB64" s="512"/>
      <c r="AC64" s="512"/>
    </row>
    <row r="65" spans="1:29" x14ac:dyDescent="0.25">
      <c r="A65" s="528"/>
      <c r="B65" s="505" t="str">
        <f t="shared" si="0"/>
        <v/>
      </c>
      <c r="C65" s="384"/>
      <c r="D65" s="518"/>
      <c r="E65" s="543"/>
      <c r="F65" s="452"/>
      <c r="G65" s="453"/>
      <c r="H65" s="541"/>
      <c r="I65" s="472"/>
      <c r="J65" s="524"/>
      <c r="K65" s="536"/>
      <c r="L65" s="475"/>
      <c r="M65" s="524"/>
      <c r="N65" s="474"/>
      <c r="O65" s="472"/>
      <c r="P65" s="524"/>
      <c r="Q65" s="474"/>
      <c r="R65" s="512"/>
      <c r="S65" s="512"/>
      <c r="T65" s="512"/>
      <c r="U65" s="512"/>
      <c r="V65" s="512"/>
      <c r="W65" s="512"/>
      <c r="X65" s="512"/>
      <c r="Y65" s="512"/>
      <c r="Z65" s="512"/>
      <c r="AA65" s="512"/>
      <c r="AB65" s="512"/>
      <c r="AC65" s="512"/>
    </row>
    <row r="66" spans="1:29" x14ac:dyDescent="0.25">
      <c r="A66" s="528"/>
      <c r="B66" s="505" t="str">
        <f t="shared" si="0"/>
        <v/>
      </c>
      <c r="C66" s="384"/>
      <c r="D66" s="518"/>
      <c r="E66" s="543"/>
      <c r="F66" s="452"/>
      <c r="G66" s="453"/>
      <c r="H66" s="541"/>
      <c r="I66" s="472"/>
      <c r="J66" s="524"/>
      <c r="K66" s="536"/>
      <c r="L66" s="475"/>
      <c r="M66" s="524"/>
      <c r="N66" s="474"/>
      <c r="O66" s="472"/>
      <c r="P66" s="524"/>
      <c r="Q66" s="474"/>
      <c r="R66" s="512"/>
      <c r="S66" s="512"/>
      <c r="T66" s="512"/>
      <c r="U66" s="512"/>
      <c r="V66" s="512"/>
      <c r="W66" s="512"/>
      <c r="X66" s="512"/>
      <c r="Y66" s="512"/>
      <c r="Z66" s="512"/>
      <c r="AA66" s="512"/>
      <c r="AB66" s="512"/>
      <c r="AC66" s="512"/>
    </row>
    <row r="67" spans="1:29" x14ac:dyDescent="0.25">
      <c r="A67" s="528"/>
      <c r="B67" s="505" t="str">
        <f t="shared" si="0"/>
        <v/>
      </c>
      <c r="C67" s="384"/>
      <c r="D67" s="518"/>
      <c r="E67" s="543"/>
      <c r="F67" s="452"/>
      <c r="G67" s="453"/>
      <c r="H67" s="541"/>
      <c r="I67" s="472"/>
      <c r="J67" s="524"/>
      <c r="K67" s="536"/>
      <c r="L67" s="475"/>
      <c r="M67" s="524"/>
      <c r="N67" s="474"/>
      <c r="O67" s="472"/>
      <c r="P67" s="524"/>
      <c r="Q67" s="474"/>
      <c r="R67" s="512"/>
      <c r="S67" s="512"/>
      <c r="T67" s="512"/>
      <c r="U67" s="512"/>
      <c r="V67" s="512"/>
      <c r="W67" s="512"/>
      <c r="X67" s="512"/>
      <c r="Y67" s="512"/>
      <c r="Z67" s="512"/>
      <c r="AA67" s="512"/>
      <c r="AB67" s="512"/>
      <c r="AC67" s="512"/>
    </row>
    <row r="68" spans="1:29" x14ac:dyDescent="0.25">
      <c r="A68" s="528"/>
      <c r="B68" s="505" t="str">
        <f t="shared" si="0"/>
        <v/>
      </c>
      <c r="C68" s="384"/>
      <c r="D68" s="518"/>
      <c r="E68" s="543"/>
      <c r="F68" s="452"/>
      <c r="G68" s="453"/>
      <c r="H68" s="541"/>
      <c r="I68" s="472"/>
      <c r="J68" s="524"/>
      <c r="K68" s="536"/>
      <c r="L68" s="475"/>
      <c r="M68" s="524"/>
      <c r="N68" s="474"/>
      <c r="O68" s="472"/>
      <c r="P68" s="524"/>
      <c r="Q68" s="474"/>
      <c r="R68" s="512"/>
      <c r="S68" s="512"/>
      <c r="T68" s="512"/>
      <c r="U68" s="512"/>
      <c r="V68" s="512"/>
      <c r="W68" s="512"/>
      <c r="X68" s="512"/>
      <c r="Y68" s="512"/>
      <c r="Z68" s="512"/>
      <c r="AA68" s="512"/>
      <c r="AB68" s="512"/>
      <c r="AC68" s="512"/>
    </row>
    <row r="69" spans="1:29" x14ac:dyDescent="0.25">
      <c r="A69" s="528"/>
      <c r="B69" s="505" t="str">
        <f t="shared" si="0"/>
        <v/>
      </c>
      <c r="C69" s="384"/>
      <c r="D69" s="518"/>
      <c r="E69" s="543"/>
      <c r="F69" s="452"/>
      <c r="G69" s="453"/>
      <c r="H69" s="541"/>
      <c r="I69" s="472"/>
      <c r="J69" s="524"/>
      <c r="K69" s="536"/>
      <c r="L69" s="475"/>
      <c r="M69" s="524"/>
      <c r="N69" s="474"/>
      <c r="O69" s="472"/>
      <c r="P69" s="524"/>
      <c r="Q69" s="474"/>
      <c r="R69" s="512"/>
      <c r="S69" s="512"/>
      <c r="T69" s="512"/>
      <c r="U69" s="512"/>
      <c r="V69" s="512"/>
      <c r="W69" s="512"/>
      <c r="X69" s="512"/>
      <c r="Y69" s="512"/>
      <c r="Z69" s="512"/>
      <c r="AA69" s="512"/>
      <c r="AB69" s="512"/>
      <c r="AC69" s="512"/>
    </row>
    <row r="70" spans="1:29" x14ac:dyDescent="0.25">
      <c r="A70" s="528"/>
      <c r="B70" s="505" t="str">
        <f t="shared" si="0"/>
        <v/>
      </c>
      <c r="C70" s="384"/>
      <c r="D70" s="518"/>
      <c r="E70" s="543"/>
      <c r="F70" s="452"/>
      <c r="G70" s="453"/>
      <c r="H70" s="541"/>
      <c r="I70" s="472"/>
      <c r="J70" s="524"/>
      <c r="K70" s="536"/>
      <c r="L70" s="475"/>
      <c r="M70" s="524"/>
      <c r="N70" s="474"/>
      <c r="O70" s="472"/>
      <c r="P70" s="524"/>
      <c r="Q70" s="474"/>
      <c r="R70" s="512"/>
      <c r="S70" s="512"/>
      <c r="T70" s="512"/>
      <c r="U70" s="512"/>
      <c r="V70" s="512"/>
      <c r="W70" s="512"/>
      <c r="X70" s="512"/>
      <c r="Y70" s="512"/>
      <c r="Z70" s="512"/>
      <c r="AA70" s="512"/>
      <c r="AB70" s="512"/>
      <c r="AC70" s="512"/>
    </row>
    <row r="71" spans="1:29" x14ac:dyDescent="0.25">
      <c r="A71" s="528"/>
      <c r="B71" s="505" t="str">
        <f t="shared" si="0"/>
        <v/>
      </c>
      <c r="C71" s="384"/>
      <c r="D71" s="518"/>
      <c r="E71" s="543"/>
      <c r="F71" s="452"/>
      <c r="G71" s="453"/>
      <c r="H71" s="541"/>
      <c r="I71" s="472"/>
      <c r="J71" s="524"/>
      <c r="K71" s="536"/>
      <c r="L71" s="475"/>
      <c r="M71" s="524"/>
      <c r="N71" s="474"/>
      <c r="O71" s="472"/>
      <c r="P71" s="524"/>
      <c r="Q71" s="474"/>
      <c r="R71" s="512"/>
      <c r="S71" s="512"/>
      <c r="T71" s="512"/>
      <c r="U71" s="512"/>
      <c r="V71" s="512"/>
      <c r="W71" s="512"/>
      <c r="X71" s="512"/>
      <c r="Y71" s="512"/>
      <c r="Z71" s="512"/>
      <c r="AA71" s="512"/>
      <c r="AB71" s="512"/>
      <c r="AC71" s="512"/>
    </row>
    <row r="72" spans="1:29" x14ac:dyDescent="0.25">
      <c r="A72" s="529"/>
      <c r="B72" s="546" t="str">
        <f t="shared" si="0"/>
        <v/>
      </c>
      <c r="C72" s="530"/>
      <c r="D72" s="531"/>
      <c r="E72" s="544"/>
      <c r="F72" s="545"/>
      <c r="G72" s="532"/>
      <c r="H72" s="542"/>
      <c r="I72" s="539"/>
      <c r="J72" s="533"/>
      <c r="K72" s="537"/>
      <c r="L72" s="538"/>
      <c r="M72" s="533"/>
      <c r="N72" s="534"/>
      <c r="O72" s="539"/>
      <c r="P72" s="533"/>
      <c r="Q72" s="534"/>
      <c r="R72" s="512"/>
      <c r="S72" s="512"/>
      <c r="T72" s="512"/>
      <c r="U72" s="512"/>
      <c r="V72" s="512"/>
      <c r="W72" s="512"/>
      <c r="X72" s="512"/>
      <c r="Y72" s="512"/>
      <c r="Z72" s="512"/>
      <c r="AA72" s="512"/>
      <c r="AB72" s="512"/>
      <c r="AC72" s="512"/>
    </row>
    <row r="73" spans="1:29" x14ac:dyDescent="0.25">
      <c r="B73" s="503" t="str">
        <f t="shared" si="0"/>
        <v/>
      </c>
      <c r="D73" s="320"/>
      <c r="E73" s="513"/>
      <c r="F73" s="513"/>
      <c r="G73" s="513"/>
      <c r="H73" s="514"/>
      <c r="I73" s="512"/>
      <c r="J73" s="512"/>
      <c r="K73" s="515"/>
      <c r="L73" s="512"/>
      <c r="M73" s="512"/>
      <c r="N73" s="512"/>
      <c r="O73" s="512"/>
      <c r="P73" s="512"/>
      <c r="Q73" s="512"/>
      <c r="R73" s="512"/>
      <c r="S73" s="512"/>
      <c r="T73" s="512"/>
      <c r="U73" s="512"/>
      <c r="V73" s="512"/>
      <c r="W73" s="512"/>
      <c r="X73" s="512"/>
      <c r="Y73" s="512"/>
      <c r="Z73" s="512"/>
      <c r="AA73" s="512"/>
      <c r="AB73" s="512"/>
      <c r="AC73" s="512"/>
    </row>
    <row r="74" spans="1:29" x14ac:dyDescent="0.25">
      <c r="B74" s="503" t="str">
        <f t="shared" si="0"/>
        <v/>
      </c>
      <c r="D74" s="320"/>
      <c r="E74" s="513"/>
      <c r="F74" s="513"/>
      <c r="G74" s="513"/>
      <c r="H74" s="514"/>
      <c r="I74" s="512"/>
      <c r="J74" s="512"/>
      <c r="K74" s="515"/>
      <c r="L74" s="512"/>
      <c r="M74" s="512"/>
      <c r="N74" s="512"/>
      <c r="O74" s="512"/>
      <c r="P74" s="512"/>
      <c r="Q74" s="512"/>
      <c r="R74" s="512"/>
      <c r="S74" s="512"/>
      <c r="T74" s="512"/>
      <c r="U74" s="512"/>
      <c r="V74" s="512"/>
      <c r="W74" s="512"/>
      <c r="X74" s="512"/>
      <c r="Y74" s="512"/>
      <c r="Z74" s="512"/>
      <c r="AA74" s="512"/>
      <c r="AB74" s="512"/>
      <c r="AC74" s="512"/>
    </row>
    <row r="75" spans="1:29" x14ac:dyDescent="0.25">
      <c r="B75" s="503" t="str">
        <f t="shared" ref="B75:B138" si="5">IF(AND(C75&lt;&gt;"",D75&lt;&gt;""),ROW()-9,"")</f>
        <v/>
      </c>
      <c r="D75" s="320"/>
      <c r="E75" s="513"/>
      <c r="F75" s="513"/>
      <c r="G75" s="513"/>
      <c r="H75" s="514"/>
      <c r="I75" s="512"/>
      <c r="J75" s="512"/>
      <c r="K75" s="515"/>
      <c r="L75" s="512"/>
      <c r="M75" s="512"/>
      <c r="N75" s="512"/>
      <c r="O75" s="512"/>
      <c r="P75" s="512"/>
      <c r="Q75" s="512"/>
      <c r="R75" s="512"/>
      <c r="S75" s="512"/>
      <c r="T75" s="512"/>
      <c r="U75" s="512"/>
      <c r="V75" s="512"/>
      <c r="W75" s="512"/>
      <c r="X75" s="512"/>
      <c r="Y75" s="512"/>
      <c r="Z75" s="512"/>
      <c r="AA75" s="512"/>
      <c r="AB75" s="512"/>
      <c r="AC75" s="512"/>
    </row>
    <row r="76" spans="1:29" x14ac:dyDescent="0.25">
      <c r="B76" s="503" t="str">
        <f t="shared" si="5"/>
        <v/>
      </c>
      <c r="D76" s="320"/>
      <c r="E76" s="513"/>
      <c r="F76" s="513"/>
      <c r="G76" s="513"/>
      <c r="H76" s="514"/>
      <c r="I76" s="512"/>
      <c r="J76" s="512"/>
      <c r="K76" s="515"/>
      <c r="L76" s="512"/>
      <c r="M76" s="512"/>
      <c r="N76" s="512"/>
      <c r="O76" s="512"/>
      <c r="P76" s="512"/>
      <c r="Q76" s="512"/>
      <c r="R76" s="512"/>
      <c r="S76" s="512"/>
      <c r="T76" s="512"/>
      <c r="U76" s="512"/>
      <c r="V76" s="512"/>
      <c r="W76" s="512"/>
      <c r="X76" s="512"/>
      <c r="Y76" s="512"/>
      <c r="Z76" s="512"/>
      <c r="AA76" s="512"/>
      <c r="AB76" s="512"/>
      <c r="AC76" s="512"/>
    </row>
    <row r="77" spans="1:29" x14ac:dyDescent="0.25">
      <c r="B77" s="503" t="str">
        <f t="shared" si="5"/>
        <v/>
      </c>
      <c r="D77" s="320"/>
      <c r="E77" s="513"/>
      <c r="F77" s="513"/>
      <c r="G77" s="513"/>
      <c r="H77" s="514"/>
      <c r="I77" s="512"/>
      <c r="J77" s="512"/>
      <c r="K77" s="515"/>
      <c r="L77" s="512"/>
      <c r="M77" s="512"/>
      <c r="N77" s="512"/>
      <c r="O77" s="512"/>
      <c r="P77" s="512"/>
      <c r="Q77" s="512"/>
      <c r="R77" s="512"/>
      <c r="S77" s="512"/>
      <c r="T77" s="512"/>
      <c r="U77" s="512"/>
      <c r="V77" s="512"/>
      <c r="W77" s="512"/>
      <c r="X77" s="512"/>
      <c r="Y77" s="512"/>
      <c r="Z77" s="512"/>
      <c r="AA77" s="512"/>
      <c r="AB77" s="512"/>
      <c r="AC77" s="512"/>
    </row>
    <row r="78" spans="1:29" x14ac:dyDescent="0.25">
      <c r="B78" s="503" t="str">
        <f t="shared" si="5"/>
        <v/>
      </c>
      <c r="D78" s="320"/>
      <c r="E78" s="513"/>
      <c r="F78" s="513"/>
      <c r="G78" s="513"/>
      <c r="H78" s="514"/>
      <c r="I78" s="512"/>
      <c r="J78" s="512"/>
      <c r="K78" s="515"/>
      <c r="L78" s="512"/>
      <c r="M78" s="512"/>
      <c r="N78" s="512"/>
      <c r="O78" s="512"/>
      <c r="P78" s="512"/>
      <c r="Q78" s="512"/>
      <c r="R78" s="512"/>
      <c r="S78" s="512"/>
      <c r="T78" s="512"/>
      <c r="U78" s="512"/>
      <c r="V78" s="512"/>
      <c r="W78" s="512"/>
      <c r="X78" s="512"/>
      <c r="Y78" s="512"/>
      <c r="Z78" s="512"/>
      <c r="AA78" s="512"/>
      <c r="AB78" s="512"/>
      <c r="AC78" s="512"/>
    </row>
    <row r="79" spans="1:29" x14ac:dyDescent="0.25">
      <c r="B79" s="503" t="str">
        <f t="shared" si="5"/>
        <v/>
      </c>
      <c r="D79" s="320"/>
      <c r="E79" s="513"/>
      <c r="F79" s="513"/>
      <c r="G79" s="513"/>
      <c r="H79" s="514"/>
      <c r="I79" s="512"/>
      <c r="J79" s="512"/>
      <c r="K79" s="515"/>
      <c r="L79" s="512"/>
      <c r="M79" s="512"/>
      <c r="N79" s="512"/>
      <c r="O79" s="512"/>
      <c r="P79" s="512"/>
      <c r="Q79" s="512"/>
      <c r="R79" s="512"/>
      <c r="S79" s="512"/>
      <c r="T79" s="512"/>
      <c r="U79" s="512"/>
      <c r="V79" s="512"/>
      <c r="W79" s="512"/>
      <c r="X79" s="512"/>
      <c r="Y79" s="512"/>
      <c r="Z79" s="512"/>
      <c r="AA79" s="512"/>
      <c r="AB79" s="512"/>
      <c r="AC79" s="512"/>
    </row>
    <row r="80" spans="1:29" x14ac:dyDescent="0.25">
      <c r="B80" s="503" t="str">
        <f t="shared" si="5"/>
        <v/>
      </c>
      <c r="D80" s="320"/>
      <c r="E80" s="513"/>
      <c r="F80" s="513"/>
      <c r="G80" s="513"/>
      <c r="H80" s="514"/>
      <c r="I80" s="512"/>
      <c r="J80" s="512"/>
      <c r="K80" s="515"/>
      <c r="L80" s="512"/>
      <c r="M80" s="512"/>
      <c r="N80" s="512"/>
      <c r="O80" s="512"/>
      <c r="P80" s="512"/>
      <c r="Q80" s="512"/>
      <c r="R80" s="512"/>
      <c r="S80" s="512"/>
      <c r="T80" s="512"/>
      <c r="U80" s="512"/>
      <c r="V80" s="512"/>
      <c r="W80" s="512"/>
      <c r="X80" s="512"/>
      <c r="Y80" s="512"/>
      <c r="Z80" s="512"/>
      <c r="AA80" s="512"/>
      <c r="AB80" s="512"/>
      <c r="AC80" s="512"/>
    </row>
    <row r="81" spans="2:29" x14ac:dyDescent="0.25">
      <c r="B81" s="503" t="str">
        <f t="shared" si="5"/>
        <v/>
      </c>
      <c r="D81" s="320"/>
      <c r="E81" s="513"/>
      <c r="F81" s="513"/>
      <c r="G81" s="513"/>
      <c r="H81" s="514"/>
      <c r="I81" s="512"/>
      <c r="J81" s="512"/>
      <c r="K81" s="515"/>
      <c r="L81" s="512"/>
      <c r="M81" s="512"/>
      <c r="N81" s="512"/>
      <c r="O81" s="512"/>
      <c r="P81" s="512"/>
      <c r="Q81" s="512"/>
      <c r="R81" s="512"/>
      <c r="S81" s="512"/>
      <c r="T81" s="512"/>
      <c r="U81" s="512"/>
      <c r="V81" s="512"/>
      <c r="W81" s="512"/>
      <c r="X81" s="512"/>
      <c r="Y81" s="512"/>
      <c r="Z81" s="512"/>
      <c r="AA81" s="512"/>
      <c r="AB81" s="512"/>
      <c r="AC81" s="512"/>
    </row>
    <row r="82" spans="2:29" x14ac:dyDescent="0.25">
      <c r="B82" s="503" t="str">
        <f t="shared" si="5"/>
        <v/>
      </c>
      <c r="D82" s="320"/>
      <c r="E82" s="513"/>
      <c r="F82" s="513"/>
      <c r="G82" s="513"/>
      <c r="H82" s="514"/>
      <c r="I82" s="512"/>
      <c r="J82" s="512"/>
      <c r="K82" s="515"/>
      <c r="L82" s="512"/>
      <c r="M82" s="512"/>
      <c r="N82" s="512"/>
      <c r="O82" s="512"/>
      <c r="P82" s="512"/>
      <c r="Q82" s="512"/>
      <c r="R82" s="512"/>
      <c r="S82" s="512"/>
      <c r="T82" s="512"/>
      <c r="U82" s="512"/>
      <c r="V82" s="512"/>
      <c r="W82" s="512"/>
      <c r="X82" s="512"/>
      <c r="Y82" s="512"/>
      <c r="Z82" s="512"/>
      <c r="AA82" s="512"/>
      <c r="AB82" s="512"/>
      <c r="AC82" s="512"/>
    </row>
    <row r="83" spans="2:29" x14ac:dyDescent="0.25">
      <c r="B83" s="503" t="str">
        <f t="shared" si="5"/>
        <v/>
      </c>
      <c r="D83" s="320"/>
      <c r="E83" s="513"/>
      <c r="F83" s="513"/>
      <c r="G83" s="513"/>
      <c r="H83" s="514"/>
      <c r="I83" s="512"/>
      <c r="J83" s="512"/>
      <c r="K83" s="515"/>
      <c r="L83" s="512"/>
      <c r="M83" s="512"/>
      <c r="N83" s="512"/>
      <c r="O83" s="512"/>
      <c r="P83" s="512"/>
      <c r="Q83" s="512"/>
      <c r="R83" s="512"/>
      <c r="S83" s="512"/>
      <c r="T83" s="512"/>
      <c r="U83" s="512"/>
      <c r="V83" s="512"/>
      <c r="W83" s="512"/>
      <c r="X83" s="512"/>
      <c r="Y83" s="512"/>
      <c r="Z83" s="512"/>
      <c r="AA83" s="512"/>
      <c r="AB83" s="512"/>
      <c r="AC83" s="512"/>
    </row>
    <row r="84" spans="2:29" x14ac:dyDescent="0.25">
      <c r="B84" s="503" t="str">
        <f t="shared" si="5"/>
        <v/>
      </c>
      <c r="D84" s="320"/>
      <c r="E84" s="513"/>
      <c r="F84" s="513"/>
      <c r="G84" s="513"/>
      <c r="H84" s="514"/>
      <c r="I84" s="512"/>
      <c r="J84" s="512"/>
      <c r="K84" s="515"/>
      <c r="L84" s="512"/>
      <c r="M84" s="512"/>
      <c r="N84" s="512"/>
      <c r="O84" s="512"/>
      <c r="P84" s="512"/>
      <c r="Q84" s="512"/>
      <c r="R84" s="512"/>
      <c r="S84" s="512"/>
      <c r="T84" s="512"/>
      <c r="U84" s="512"/>
      <c r="V84" s="512"/>
      <c r="W84" s="512"/>
      <c r="X84" s="512"/>
      <c r="Y84" s="512"/>
      <c r="Z84" s="512"/>
      <c r="AA84" s="512"/>
      <c r="AB84" s="512"/>
      <c r="AC84" s="512"/>
    </row>
    <row r="85" spans="2:29" x14ac:dyDescent="0.25">
      <c r="B85" s="503" t="str">
        <f t="shared" si="5"/>
        <v/>
      </c>
      <c r="D85" s="320"/>
      <c r="E85" s="513"/>
      <c r="F85" s="513"/>
      <c r="G85" s="513"/>
      <c r="H85" s="514"/>
      <c r="I85" s="512"/>
      <c r="J85" s="512"/>
      <c r="K85" s="515"/>
      <c r="L85" s="512"/>
      <c r="M85" s="512"/>
      <c r="N85" s="512"/>
      <c r="O85" s="512"/>
      <c r="P85" s="512"/>
      <c r="Q85" s="512"/>
      <c r="R85" s="512"/>
      <c r="S85" s="512"/>
      <c r="T85" s="512"/>
      <c r="U85" s="512"/>
      <c r="V85" s="512"/>
      <c r="W85" s="512"/>
      <c r="X85" s="512"/>
      <c r="Y85" s="512"/>
      <c r="Z85" s="512"/>
      <c r="AA85" s="512"/>
      <c r="AB85" s="512"/>
      <c r="AC85" s="512"/>
    </row>
    <row r="86" spans="2:29" x14ac:dyDescent="0.25">
      <c r="B86" s="503" t="str">
        <f t="shared" si="5"/>
        <v/>
      </c>
      <c r="D86" s="320"/>
      <c r="E86" s="513"/>
      <c r="F86" s="513"/>
      <c r="G86" s="513"/>
      <c r="H86" s="514"/>
      <c r="I86" s="512"/>
      <c r="J86" s="512"/>
      <c r="K86" s="515"/>
      <c r="L86" s="512"/>
      <c r="M86" s="512"/>
      <c r="N86" s="512"/>
      <c r="O86" s="512"/>
      <c r="P86" s="512"/>
      <c r="Q86" s="512"/>
      <c r="R86" s="512"/>
      <c r="S86" s="512"/>
      <c r="T86" s="512"/>
      <c r="U86" s="512"/>
      <c r="V86" s="512"/>
      <c r="W86" s="512"/>
      <c r="X86" s="512"/>
      <c r="Y86" s="512"/>
      <c r="Z86" s="512"/>
      <c r="AA86" s="512"/>
      <c r="AB86" s="512"/>
      <c r="AC86" s="512"/>
    </row>
    <row r="87" spans="2:29" x14ac:dyDescent="0.25">
      <c r="B87" s="503" t="str">
        <f t="shared" si="5"/>
        <v/>
      </c>
      <c r="D87" s="320"/>
      <c r="E87" s="513"/>
      <c r="F87" s="513"/>
      <c r="G87" s="513"/>
      <c r="H87" s="514"/>
      <c r="I87" s="512"/>
      <c r="J87" s="512"/>
      <c r="K87" s="515"/>
      <c r="L87" s="512"/>
      <c r="M87" s="512"/>
      <c r="N87" s="512"/>
      <c r="O87" s="512"/>
      <c r="P87" s="512"/>
      <c r="Q87" s="512"/>
      <c r="R87" s="512"/>
      <c r="S87" s="512"/>
      <c r="T87" s="512"/>
      <c r="U87" s="512"/>
      <c r="V87" s="512"/>
      <c r="W87" s="512"/>
      <c r="X87" s="512"/>
      <c r="Y87" s="512"/>
      <c r="Z87" s="512"/>
      <c r="AA87" s="512"/>
      <c r="AB87" s="512"/>
      <c r="AC87" s="512"/>
    </row>
    <row r="88" spans="2:29" x14ac:dyDescent="0.25">
      <c r="B88" s="503" t="str">
        <f t="shared" si="5"/>
        <v/>
      </c>
      <c r="D88" s="320"/>
      <c r="E88" s="513"/>
      <c r="F88" s="513"/>
      <c r="G88" s="513"/>
      <c r="H88" s="514"/>
      <c r="I88" s="512"/>
      <c r="J88" s="512"/>
      <c r="K88" s="515"/>
      <c r="L88" s="512"/>
      <c r="M88" s="512"/>
      <c r="N88" s="512"/>
      <c r="O88" s="512"/>
      <c r="P88" s="512"/>
      <c r="Q88" s="512"/>
      <c r="R88" s="512"/>
      <c r="S88" s="512"/>
      <c r="T88" s="512"/>
      <c r="U88" s="512"/>
      <c r="V88" s="512"/>
      <c r="W88" s="512"/>
      <c r="X88" s="512"/>
      <c r="Y88" s="512"/>
      <c r="Z88" s="512"/>
      <c r="AA88" s="512"/>
      <c r="AB88" s="512"/>
      <c r="AC88" s="512"/>
    </row>
    <row r="89" spans="2:29" x14ac:dyDescent="0.25">
      <c r="B89" s="503" t="str">
        <f t="shared" si="5"/>
        <v/>
      </c>
      <c r="D89" s="320"/>
      <c r="E89" s="513"/>
      <c r="F89" s="513"/>
      <c r="G89" s="513"/>
      <c r="H89" s="514"/>
      <c r="I89" s="512"/>
      <c r="J89" s="512"/>
      <c r="K89" s="515"/>
      <c r="L89" s="512"/>
      <c r="M89" s="512"/>
      <c r="N89" s="512"/>
      <c r="O89" s="512"/>
      <c r="P89" s="512"/>
      <c r="Q89" s="512"/>
      <c r="R89" s="512"/>
      <c r="S89" s="512"/>
      <c r="T89" s="512"/>
      <c r="U89" s="512"/>
      <c r="V89" s="512"/>
      <c r="W89" s="512"/>
      <c r="X89" s="512"/>
      <c r="Y89" s="512"/>
      <c r="Z89" s="512"/>
      <c r="AA89" s="512"/>
      <c r="AB89" s="512"/>
      <c r="AC89" s="512"/>
    </row>
    <row r="90" spans="2:29" x14ac:dyDescent="0.25">
      <c r="B90" s="503" t="str">
        <f t="shared" si="5"/>
        <v/>
      </c>
      <c r="D90" s="320"/>
      <c r="E90" s="513"/>
      <c r="F90" s="513"/>
      <c r="G90" s="513"/>
      <c r="H90" s="514"/>
      <c r="I90" s="512"/>
      <c r="J90" s="512"/>
      <c r="K90" s="515"/>
      <c r="L90" s="512"/>
      <c r="M90" s="512"/>
      <c r="N90" s="512"/>
      <c r="O90" s="512"/>
      <c r="P90" s="512"/>
      <c r="Q90" s="512"/>
      <c r="R90" s="512"/>
      <c r="S90" s="512"/>
      <c r="T90" s="512"/>
      <c r="U90" s="512"/>
      <c r="V90" s="512"/>
      <c r="W90" s="512"/>
      <c r="X90" s="512"/>
      <c r="Y90" s="512"/>
      <c r="Z90" s="512"/>
      <c r="AA90" s="512"/>
      <c r="AB90" s="512"/>
      <c r="AC90" s="512"/>
    </row>
    <row r="91" spans="2:29" x14ac:dyDescent="0.25">
      <c r="B91" s="503" t="str">
        <f t="shared" si="5"/>
        <v/>
      </c>
      <c r="D91" s="320"/>
      <c r="E91" s="513"/>
      <c r="F91" s="513"/>
      <c r="G91" s="513"/>
      <c r="H91" s="514"/>
      <c r="I91" s="512"/>
      <c r="J91" s="512"/>
      <c r="K91" s="515"/>
      <c r="L91" s="512"/>
      <c r="M91" s="512"/>
      <c r="N91" s="512"/>
      <c r="O91" s="512"/>
      <c r="P91" s="512"/>
      <c r="Q91" s="512"/>
      <c r="R91" s="512"/>
      <c r="S91" s="512"/>
      <c r="T91" s="512"/>
      <c r="U91" s="512"/>
      <c r="V91" s="512"/>
      <c r="W91" s="512"/>
      <c r="X91" s="512"/>
      <c r="Y91" s="512"/>
      <c r="Z91" s="512"/>
      <c r="AA91" s="512"/>
      <c r="AB91" s="512"/>
      <c r="AC91" s="512"/>
    </row>
    <row r="92" spans="2:29" x14ac:dyDescent="0.25">
      <c r="B92" s="503" t="str">
        <f t="shared" si="5"/>
        <v/>
      </c>
      <c r="D92" s="320"/>
      <c r="E92" s="513"/>
      <c r="F92" s="513"/>
      <c r="G92" s="513"/>
      <c r="H92" s="514"/>
      <c r="I92" s="512"/>
      <c r="J92" s="512"/>
      <c r="K92" s="515"/>
      <c r="L92" s="512"/>
      <c r="M92" s="512"/>
      <c r="N92" s="512"/>
      <c r="O92" s="512"/>
      <c r="P92" s="512"/>
      <c r="Q92" s="512"/>
      <c r="R92" s="512"/>
      <c r="S92" s="512"/>
      <c r="T92" s="512"/>
      <c r="U92" s="512"/>
      <c r="V92" s="512"/>
      <c r="W92" s="512"/>
      <c r="X92" s="512"/>
      <c r="Y92" s="512"/>
      <c r="Z92" s="512"/>
      <c r="AA92" s="512"/>
      <c r="AB92" s="512"/>
      <c r="AC92" s="512"/>
    </row>
    <row r="93" spans="2:29" x14ac:dyDescent="0.25">
      <c r="B93" s="503" t="str">
        <f t="shared" si="5"/>
        <v/>
      </c>
      <c r="D93" s="320"/>
      <c r="E93" s="513"/>
      <c r="F93" s="513"/>
      <c r="G93" s="513"/>
      <c r="H93" s="514"/>
      <c r="I93" s="512"/>
      <c r="J93" s="512"/>
      <c r="K93" s="515"/>
      <c r="L93" s="512"/>
      <c r="M93" s="512"/>
      <c r="N93" s="512"/>
      <c r="O93" s="512"/>
      <c r="P93" s="512"/>
      <c r="Q93" s="512"/>
      <c r="R93" s="512"/>
      <c r="S93" s="512"/>
      <c r="T93" s="512"/>
      <c r="U93" s="512"/>
      <c r="V93" s="512"/>
      <c r="W93" s="512"/>
      <c r="X93" s="512"/>
      <c r="Y93" s="512"/>
      <c r="Z93" s="512"/>
      <c r="AA93" s="512"/>
      <c r="AB93" s="512"/>
      <c r="AC93" s="512"/>
    </row>
    <row r="94" spans="2:29" x14ac:dyDescent="0.25">
      <c r="B94" s="503" t="str">
        <f t="shared" si="5"/>
        <v/>
      </c>
      <c r="D94" s="320"/>
      <c r="E94" s="513"/>
      <c r="F94" s="513"/>
      <c r="G94" s="513"/>
      <c r="H94" s="514"/>
      <c r="I94" s="512"/>
      <c r="J94" s="512"/>
      <c r="K94" s="515"/>
      <c r="L94" s="512"/>
      <c r="M94" s="512"/>
      <c r="N94" s="512"/>
      <c r="O94" s="512"/>
      <c r="P94" s="512"/>
      <c r="Q94" s="512"/>
      <c r="R94" s="512"/>
      <c r="S94" s="512"/>
      <c r="T94" s="512"/>
      <c r="U94" s="512"/>
      <c r="V94" s="512"/>
      <c r="W94" s="512"/>
      <c r="X94" s="512"/>
      <c r="Y94" s="512"/>
      <c r="Z94" s="512"/>
      <c r="AA94" s="512"/>
      <c r="AB94" s="512"/>
      <c r="AC94" s="512"/>
    </row>
    <row r="95" spans="2:29" x14ac:dyDescent="0.25">
      <c r="B95" s="503" t="str">
        <f t="shared" si="5"/>
        <v/>
      </c>
      <c r="D95" s="320"/>
      <c r="E95" s="513"/>
      <c r="F95" s="513"/>
      <c r="G95" s="513"/>
      <c r="H95" s="514"/>
      <c r="I95" s="512"/>
      <c r="J95" s="512"/>
      <c r="K95" s="515"/>
      <c r="L95" s="512"/>
      <c r="M95" s="512"/>
      <c r="N95" s="512"/>
      <c r="O95" s="512"/>
      <c r="P95" s="512"/>
      <c r="Q95" s="512"/>
      <c r="R95" s="512"/>
      <c r="S95" s="512"/>
      <c r="T95" s="512"/>
      <c r="U95" s="512"/>
      <c r="V95" s="512"/>
      <c r="W95" s="512"/>
      <c r="X95" s="512"/>
      <c r="Y95" s="512"/>
      <c r="Z95" s="512"/>
      <c r="AA95" s="512"/>
      <c r="AB95" s="512"/>
      <c r="AC95" s="512"/>
    </row>
    <row r="96" spans="2:29" x14ac:dyDescent="0.25">
      <c r="B96" s="503" t="str">
        <f t="shared" si="5"/>
        <v/>
      </c>
      <c r="D96" s="320"/>
      <c r="E96" s="513"/>
      <c r="F96" s="513"/>
      <c r="G96" s="513"/>
      <c r="H96" s="514"/>
      <c r="I96" s="512"/>
      <c r="J96" s="512"/>
      <c r="K96" s="515"/>
      <c r="L96" s="512"/>
      <c r="M96" s="512"/>
      <c r="N96" s="512"/>
      <c r="O96" s="512"/>
      <c r="P96" s="512"/>
      <c r="Q96" s="512"/>
      <c r="R96" s="512"/>
      <c r="S96" s="512"/>
      <c r="T96" s="512"/>
      <c r="U96" s="512"/>
      <c r="V96" s="512"/>
      <c r="W96" s="512"/>
      <c r="X96" s="512"/>
      <c r="Y96" s="512"/>
      <c r="Z96" s="512"/>
      <c r="AA96" s="512"/>
      <c r="AB96" s="512"/>
      <c r="AC96" s="512"/>
    </row>
    <row r="97" spans="2:29" x14ac:dyDescent="0.25">
      <c r="B97" s="503" t="str">
        <f t="shared" si="5"/>
        <v/>
      </c>
      <c r="D97" s="320"/>
      <c r="E97" s="513"/>
      <c r="F97" s="513"/>
      <c r="G97" s="513"/>
      <c r="H97" s="514"/>
      <c r="I97" s="512"/>
      <c r="J97" s="512"/>
      <c r="K97" s="515"/>
      <c r="L97" s="512"/>
      <c r="M97" s="512"/>
      <c r="N97" s="512"/>
      <c r="O97" s="512"/>
      <c r="P97" s="512"/>
      <c r="Q97" s="512"/>
      <c r="R97" s="512"/>
      <c r="S97" s="512"/>
      <c r="T97" s="512"/>
      <c r="U97" s="512"/>
      <c r="V97" s="512"/>
      <c r="W97" s="512"/>
      <c r="X97" s="512"/>
      <c r="Y97" s="512"/>
      <c r="Z97" s="512"/>
      <c r="AA97" s="512"/>
      <c r="AB97" s="512"/>
      <c r="AC97" s="512"/>
    </row>
    <row r="98" spans="2:29" x14ac:dyDescent="0.25">
      <c r="B98" s="503" t="str">
        <f t="shared" si="5"/>
        <v/>
      </c>
      <c r="D98" s="320"/>
      <c r="E98" s="513"/>
      <c r="F98" s="513"/>
      <c r="G98" s="513"/>
      <c r="H98" s="514"/>
      <c r="I98" s="512"/>
      <c r="J98" s="512"/>
      <c r="K98" s="515"/>
      <c r="L98" s="512"/>
      <c r="M98" s="512"/>
      <c r="N98" s="512"/>
      <c r="O98" s="512"/>
      <c r="P98" s="512"/>
      <c r="Q98" s="512"/>
      <c r="R98" s="512"/>
      <c r="S98" s="512"/>
      <c r="T98" s="512"/>
      <c r="U98" s="512"/>
      <c r="V98" s="512"/>
      <c r="W98" s="512"/>
      <c r="X98" s="512"/>
      <c r="Y98" s="512"/>
      <c r="Z98" s="512"/>
      <c r="AA98" s="512"/>
      <c r="AB98" s="512"/>
      <c r="AC98" s="512"/>
    </row>
    <row r="99" spans="2:29" x14ac:dyDescent="0.25">
      <c r="B99" s="503" t="str">
        <f t="shared" si="5"/>
        <v/>
      </c>
      <c r="D99" s="320"/>
      <c r="E99" s="513"/>
      <c r="F99" s="513"/>
      <c r="G99" s="513"/>
      <c r="H99" s="514"/>
      <c r="I99" s="512"/>
      <c r="J99" s="512"/>
      <c r="K99" s="515"/>
      <c r="L99" s="512"/>
      <c r="M99" s="512"/>
      <c r="N99" s="512"/>
      <c r="O99" s="512"/>
      <c r="P99" s="512"/>
      <c r="Q99" s="512"/>
      <c r="R99" s="512"/>
      <c r="S99" s="512"/>
      <c r="T99" s="512"/>
      <c r="U99" s="512"/>
      <c r="V99" s="512"/>
      <c r="W99" s="512"/>
      <c r="X99" s="512"/>
      <c r="Y99" s="512"/>
      <c r="Z99" s="512"/>
      <c r="AA99" s="512"/>
      <c r="AB99" s="512"/>
      <c r="AC99" s="512"/>
    </row>
    <row r="100" spans="2:29" x14ac:dyDescent="0.25">
      <c r="B100" s="503" t="str">
        <f t="shared" si="5"/>
        <v/>
      </c>
      <c r="D100" s="320"/>
      <c r="E100" s="513"/>
      <c r="F100" s="513"/>
      <c r="G100" s="513"/>
      <c r="H100" s="514"/>
      <c r="I100" s="512"/>
      <c r="J100" s="512"/>
      <c r="K100" s="515"/>
      <c r="L100" s="512"/>
      <c r="M100" s="512"/>
      <c r="N100" s="512"/>
      <c r="O100" s="512"/>
      <c r="P100" s="512"/>
      <c r="Q100" s="512"/>
      <c r="R100" s="512"/>
      <c r="S100" s="512"/>
      <c r="T100" s="512"/>
      <c r="U100" s="512"/>
      <c r="V100" s="512"/>
      <c r="W100" s="512"/>
      <c r="X100" s="512"/>
      <c r="Y100" s="512"/>
      <c r="Z100" s="512"/>
      <c r="AA100" s="512"/>
      <c r="AB100" s="512"/>
      <c r="AC100" s="512"/>
    </row>
    <row r="101" spans="2:29" x14ac:dyDescent="0.25">
      <c r="B101" s="503" t="str">
        <f t="shared" si="5"/>
        <v/>
      </c>
      <c r="D101" s="320"/>
      <c r="E101" s="513"/>
      <c r="F101" s="513"/>
      <c r="G101" s="513"/>
      <c r="H101" s="514"/>
      <c r="I101" s="512"/>
      <c r="J101" s="512"/>
      <c r="K101" s="515"/>
      <c r="L101" s="512"/>
      <c r="M101" s="512"/>
      <c r="N101" s="512"/>
      <c r="O101" s="512"/>
      <c r="P101" s="512"/>
      <c r="Q101" s="512"/>
      <c r="R101" s="512"/>
      <c r="S101" s="512"/>
      <c r="T101" s="512"/>
      <c r="U101" s="512"/>
      <c r="V101" s="512"/>
      <c r="W101" s="512"/>
      <c r="X101" s="512"/>
      <c r="Y101" s="512"/>
      <c r="Z101" s="512"/>
      <c r="AA101" s="512"/>
      <c r="AB101" s="512"/>
      <c r="AC101" s="512"/>
    </row>
    <row r="102" spans="2:29" x14ac:dyDescent="0.25">
      <c r="B102" s="503" t="str">
        <f t="shared" si="5"/>
        <v/>
      </c>
      <c r="D102" s="320"/>
      <c r="E102" s="513"/>
      <c r="F102" s="513"/>
      <c r="G102" s="513"/>
      <c r="H102" s="514"/>
      <c r="I102" s="512"/>
      <c r="J102" s="512"/>
      <c r="K102" s="515"/>
      <c r="L102" s="512"/>
      <c r="M102" s="512"/>
      <c r="N102" s="512"/>
      <c r="O102" s="512"/>
      <c r="P102" s="512"/>
      <c r="Q102" s="512"/>
      <c r="R102" s="512"/>
      <c r="S102" s="512"/>
      <c r="T102" s="512"/>
      <c r="U102" s="512"/>
      <c r="V102" s="512"/>
      <c r="W102" s="512"/>
      <c r="X102" s="512"/>
      <c r="Y102" s="512"/>
      <c r="Z102" s="512"/>
      <c r="AA102" s="512"/>
      <c r="AB102" s="512"/>
      <c r="AC102" s="512"/>
    </row>
    <row r="103" spans="2:29" x14ac:dyDescent="0.25">
      <c r="B103" s="503" t="str">
        <f t="shared" si="5"/>
        <v/>
      </c>
      <c r="D103" s="320"/>
      <c r="E103" s="513"/>
      <c r="F103" s="513"/>
      <c r="G103" s="513"/>
      <c r="H103" s="514"/>
      <c r="I103" s="512"/>
      <c r="J103" s="512"/>
      <c r="K103" s="515"/>
      <c r="L103" s="512"/>
      <c r="M103" s="512"/>
      <c r="N103" s="512"/>
      <c r="O103" s="512"/>
      <c r="P103" s="512"/>
      <c r="Q103" s="512"/>
      <c r="R103" s="512"/>
      <c r="S103" s="512"/>
      <c r="T103" s="512"/>
      <c r="U103" s="512"/>
      <c r="V103" s="512"/>
      <c r="W103" s="512"/>
      <c r="X103" s="512"/>
      <c r="Y103" s="512"/>
      <c r="Z103" s="512"/>
      <c r="AA103" s="512"/>
      <c r="AB103" s="512"/>
      <c r="AC103" s="512"/>
    </row>
    <row r="104" spans="2:29" x14ac:dyDescent="0.25">
      <c r="B104" s="503" t="str">
        <f t="shared" si="5"/>
        <v/>
      </c>
      <c r="D104" s="320"/>
      <c r="E104" s="513"/>
      <c r="F104" s="513"/>
      <c r="G104" s="513"/>
      <c r="H104" s="514"/>
      <c r="I104" s="512"/>
      <c r="J104" s="512"/>
      <c r="K104" s="515"/>
      <c r="L104" s="512"/>
      <c r="M104" s="512"/>
      <c r="N104" s="512"/>
      <c r="O104" s="512"/>
      <c r="P104" s="512"/>
      <c r="Q104" s="512"/>
      <c r="R104" s="512"/>
      <c r="S104" s="512"/>
      <c r="T104" s="512"/>
      <c r="U104" s="512"/>
      <c r="V104" s="512"/>
      <c r="W104" s="512"/>
      <c r="X104" s="512"/>
      <c r="Y104" s="512"/>
      <c r="Z104" s="512"/>
      <c r="AA104" s="512"/>
      <c r="AB104" s="512"/>
      <c r="AC104" s="512"/>
    </row>
    <row r="105" spans="2:29" x14ac:dyDescent="0.25">
      <c r="B105" s="503" t="str">
        <f t="shared" si="5"/>
        <v/>
      </c>
      <c r="D105" s="320"/>
      <c r="E105" s="513"/>
      <c r="F105" s="513"/>
      <c r="G105" s="513"/>
      <c r="H105" s="514"/>
      <c r="I105" s="512"/>
      <c r="J105" s="512"/>
      <c r="K105" s="515"/>
      <c r="L105" s="512"/>
      <c r="M105" s="512"/>
      <c r="N105" s="512"/>
      <c r="O105" s="512"/>
      <c r="P105" s="512"/>
      <c r="Q105" s="512"/>
      <c r="R105" s="512"/>
      <c r="S105" s="512"/>
      <c r="T105" s="512"/>
      <c r="U105" s="512"/>
      <c r="V105" s="512"/>
      <c r="W105" s="512"/>
      <c r="X105" s="512"/>
      <c r="Y105" s="512"/>
      <c r="Z105" s="512"/>
      <c r="AA105" s="512"/>
      <c r="AB105" s="512"/>
      <c r="AC105" s="512"/>
    </row>
    <row r="106" spans="2:29" x14ac:dyDescent="0.25">
      <c r="B106" s="503" t="str">
        <f t="shared" si="5"/>
        <v/>
      </c>
      <c r="D106" s="320"/>
      <c r="E106" s="513"/>
      <c r="F106" s="513"/>
      <c r="G106" s="513"/>
      <c r="H106" s="514"/>
      <c r="I106" s="512"/>
      <c r="J106" s="512"/>
      <c r="K106" s="515"/>
      <c r="L106" s="512"/>
      <c r="M106" s="512"/>
      <c r="N106" s="512"/>
      <c r="O106" s="512"/>
      <c r="P106" s="512"/>
      <c r="Q106" s="512"/>
      <c r="R106" s="512"/>
      <c r="S106" s="512"/>
      <c r="T106" s="512"/>
      <c r="U106" s="512"/>
      <c r="V106" s="512"/>
      <c r="W106" s="512"/>
      <c r="X106" s="512"/>
      <c r="Y106" s="512"/>
      <c r="Z106" s="512"/>
      <c r="AA106" s="512"/>
      <c r="AB106" s="512"/>
      <c r="AC106" s="512"/>
    </row>
    <row r="107" spans="2:29" x14ac:dyDescent="0.25">
      <c r="B107" s="503" t="str">
        <f t="shared" si="5"/>
        <v/>
      </c>
      <c r="D107" s="320"/>
      <c r="E107" s="513"/>
      <c r="F107" s="513"/>
      <c r="G107" s="513"/>
      <c r="H107" s="514"/>
      <c r="I107" s="512"/>
      <c r="J107" s="512"/>
      <c r="K107" s="515"/>
      <c r="L107" s="512"/>
      <c r="M107" s="512"/>
      <c r="N107" s="512"/>
      <c r="O107" s="512"/>
      <c r="P107" s="512"/>
      <c r="Q107" s="512"/>
      <c r="R107" s="512"/>
      <c r="S107" s="512"/>
      <c r="T107" s="512"/>
      <c r="U107" s="512"/>
      <c r="V107" s="512"/>
      <c r="W107" s="512"/>
      <c r="X107" s="512"/>
      <c r="Y107" s="512"/>
      <c r="Z107" s="512"/>
      <c r="AA107" s="512"/>
      <c r="AB107" s="512"/>
      <c r="AC107" s="512"/>
    </row>
    <row r="108" spans="2:29" x14ac:dyDescent="0.25">
      <c r="B108" s="503" t="str">
        <f t="shared" si="5"/>
        <v/>
      </c>
      <c r="D108" s="320"/>
      <c r="E108" s="513"/>
      <c r="F108" s="513"/>
      <c r="G108" s="513"/>
      <c r="H108" s="514"/>
      <c r="I108" s="512"/>
      <c r="J108" s="512"/>
      <c r="K108" s="515"/>
      <c r="L108" s="512"/>
      <c r="M108" s="512"/>
      <c r="N108" s="512"/>
      <c r="O108" s="512"/>
      <c r="P108" s="512"/>
      <c r="Q108" s="512"/>
      <c r="R108" s="512"/>
      <c r="S108" s="512"/>
      <c r="T108" s="512"/>
      <c r="U108" s="512"/>
      <c r="V108" s="512"/>
      <c r="W108" s="512"/>
      <c r="X108" s="512"/>
      <c r="Y108" s="512"/>
      <c r="Z108" s="512"/>
      <c r="AA108" s="512"/>
      <c r="AB108" s="512"/>
      <c r="AC108" s="512"/>
    </row>
    <row r="109" spans="2:29" x14ac:dyDescent="0.25">
      <c r="B109" s="503" t="str">
        <f t="shared" si="5"/>
        <v/>
      </c>
      <c r="D109" s="320"/>
      <c r="E109" s="513"/>
      <c r="F109" s="513"/>
      <c r="G109" s="513"/>
      <c r="H109" s="514"/>
      <c r="I109" s="512"/>
      <c r="J109" s="512"/>
      <c r="K109" s="515"/>
      <c r="L109" s="512"/>
      <c r="M109" s="512"/>
      <c r="N109" s="512"/>
      <c r="O109" s="512"/>
      <c r="P109" s="512"/>
      <c r="Q109" s="512"/>
      <c r="R109" s="512"/>
      <c r="S109" s="512"/>
      <c r="T109" s="512"/>
      <c r="U109" s="512"/>
      <c r="V109" s="512"/>
      <c r="W109" s="512"/>
      <c r="X109" s="512"/>
      <c r="Y109" s="512"/>
      <c r="Z109" s="512"/>
      <c r="AA109" s="512"/>
      <c r="AB109" s="512"/>
      <c r="AC109" s="512"/>
    </row>
    <row r="110" spans="2:29" x14ac:dyDescent="0.25">
      <c r="B110" s="503" t="str">
        <f t="shared" si="5"/>
        <v/>
      </c>
      <c r="D110" s="320"/>
      <c r="E110" s="513"/>
      <c r="F110" s="513"/>
      <c r="G110" s="513"/>
      <c r="H110" s="514"/>
      <c r="I110" s="512"/>
      <c r="J110" s="512"/>
      <c r="K110" s="515"/>
      <c r="L110" s="512"/>
      <c r="M110" s="512"/>
      <c r="N110" s="512"/>
      <c r="O110" s="512"/>
      <c r="P110" s="512"/>
      <c r="Q110" s="512"/>
      <c r="R110" s="512"/>
      <c r="S110" s="512"/>
      <c r="T110" s="512"/>
      <c r="U110" s="512"/>
      <c r="V110" s="512"/>
      <c r="W110" s="512"/>
      <c r="X110" s="512"/>
      <c r="Y110" s="512"/>
      <c r="Z110" s="512"/>
      <c r="AA110" s="512"/>
      <c r="AB110" s="512"/>
      <c r="AC110" s="512"/>
    </row>
    <row r="111" spans="2:29" x14ac:dyDescent="0.25">
      <c r="B111" s="503" t="str">
        <f t="shared" si="5"/>
        <v/>
      </c>
      <c r="D111" s="320"/>
      <c r="E111" s="513"/>
      <c r="F111" s="513"/>
      <c r="G111" s="513"/>
      <c r="H111" s="514"/>
      <c r="I111" s="512"/>
      <c r="J111" s="512"/>
      <c r="K111" s="515"/>
      <c r="L111" s="512"/>
      <c r="M111" s="512"/>
      <c r="N111" s="512"/>
      <c r="O111" s="512"/>
      <c r="P111" s="512"/>
      <c r="Q111" s="512"/>
      <c r="R111" s="512"/>
      <c r="S111" s="512"/>
      <c r="T111" s="512"/>
      <c r="U111" s="512"/>
      <c r="V111" s="512"/>
      <c r="W111" s="512"/>
      <c r="X111" s="512"/>
      <c r="Y111" s="512"/>
      <c r="Z111" s="512"/>
      <c r="AA111" s="512"/>
      <c r="AB111" s="512"/>
      <c r="AC111" s="512"/>
    </row>
    <row r="112" spans="2:29" x14ac:dyDescent="0.25">
      <c r="B112" s="503" t="str">
        <f t="shared" si="5"/>
        <v/>
      </c>
      <c r="D112" s="320"/>
      <c r="E112" s="513"/>
      <c r="F112" s="513"/>
      <c r="G112" s="513"/>
      <c r="H112" s="514"/>
      <c r="I112" s="512"/>
      <c r="J112" s="512"/>
      <c r="K112" s="515"/>
      <c r="L112" s="512"/>
      <c r="M112" s="512"/>
      <c r="N112" s="512"/>
      <c r="O112" s="512"/>
      <c r="P112" s="512"/>
      <c r="Q112" s="512"/>
      <c r="R112" s="512"/>
      <c r="S112" s="512"/>
      <c r="T112" s="512"/>
      <c r="U112" s="512"/>
      <c r="V112" s="512"/>
      <c r="W112" s="512"/>
      <c r="X112" s="512"/>
      <c r="Y112" s="512"/>
      <c r="Z112" s="512"/>
      <c r="AA112" s="512"/>
      <c r="AB112" s="512"/>
      <c r="AC112" s="512"/>
    </row>
    <row r="113" spans="2:29" x14ac:dyDescent="0.25">
      <c r="B113" s="503" t="str">
        <f t="shared" si="5"/>
        <v/>
      </c>
      <c r="D113" s="320"/>
      <c r="E113" s="513"/>
      <c r="F113" s="513"/>
      <c r="G113" s="513"/>
      <c r="H113" s="514"/>
      <c r="I113" s="512"/>
      <c r="J113" s="512"/>
      <c r="K113" s="515"/>
      <c r="L113" s="512"/>
      <c r="M113" s="512"/>
      <c r="N113" s="512"/>
      <c r="O113" s="512"/>
      <c r="P113" s="512"/>
      <c r="Q113" s="512"/>
      <c r="R113" s="512"/>
      <c r="S113" s="512"/>
      <c r="T113" s="512"/>
      <c r="U113" s="512"/>
      <c r="V113" s="512"/>
      <c r="W113" s="512"/>
      <c r="X113" s="512"/>
      <c r="Y113" s="512"/>
      <c r="Z113" s="512"/>
      <c r="AA113" s="512"/>
      <c r="AB113" s="512"/>
      <c r="AC113" s="512"/>
    </row>
    <row r="114" spans="2:29" x14ac:dyDescent="0.25">
      <c r="B114" s="503" t="str">
        <f t="shared" si="5"/>
        <v/>
      </c>
      <c r="D114" s="320"/>
      <c r="E114" s="513"/>
      <c r="F114" s="513"/>
      <c r="G114" s="513"/>
      <c r="H114" s="514"/>
      <c r="I114" s="512"/>
      <c r="J114" s="512"/>
      <c r="K114" s="515"/>
      <c r="L114" s="512"/>
      <c r="M114" s="512"/>
      <c r="N114" s="512"/>
      <c r="O114" s="512"/>
      <c r="P114" s="512"/>
      <c r="Q114" s="512"/>
      <c r="R114" s="512"/>
      <c r="S114" s="512"/>
      <c r="T114" s="512"/>
      <c r="U114" s="512"/>
      <c r="V114" s="512"/>
      <c r="W114" s="512"/>
      <c r="X114" s="512"/>
      <c r="Y114" s="512"/>
      <c r="Z114" s="512"/>
      <c r="AA114" s="512"/>
      <c r="AB114" s="512"/>
      <c r="AC114" s="512"/>
    </row>
    <row r="115" spans="2:29" x14ac:dyDescent="0.25">
      <c r="B115" s="503" t="str">
        <f t="shared" si="5"/>
        <v/>
      </c>
      <c r="D115" s="320"/>
      <c r="E115" s="513"/>
      <c r="F115" s="513"/>
      <c r="G115" s="513"/>
      <c r="H115" s="514"/>
      <c r="I115" s="512"/>
      <c r="J115" s="512"/>
      <c r="K115" s="515"/>
      <c r="L115" s="512"/>
      <c r="M115" s="512"/>
      <c r="N115" s="512"/>
      <c r="O115" s="512"/>
      <c r="P115" s="512"/>
      <c r="Q115" s="512"/>
      <c r="R115" s="512"/>
      <c r="S115" s="512"/>
      <c r="T115" s="512"/>
      <c r="U115" s="512"/>
      <c r="V115" s="512"/>
      <c r="W115" s="512"/>
      <c r="X115" s="512"/>
      <c r="Y115" s="512"/>
      <c r="Z115" s="512"/>
      <c r="AA115" s="512"/>
      <c r="AB115" s="512"/>
      <c r="AC115" s="512"/>
    </row>
    <row r="116" spans="2:29" x14ac:dyDescent="0.25">
      <c r="B116" s="503" t="str">
        <f t="shared" si="5"/>
        <v/>
      </c>
      <c r="D116" s="320"/>
      <c r="E116" s="513"/>
      <c r="F116" s="513"/>
      <c r="G116" s="513"/>
      <c r="H116" s="514"/>
      <c r="I116" s="512"/>
      <c r="J116" s="512"/>
      <c r="K116" s="515"/>
      <c r="L116" s="512"/>
      <c r="M116" s="512"/>
      <c r="N116" s="512"/>
      <c r="O116" s="512"/>
      <c r="P116" s="512"/>
      <c r="Q116" s="512"/>
      <c r="R116" s="512"/>
      <c r="S116" s="512"/>
      <c r="T116" s="512"/>
      <c r="U116" s="512"/>
      <c r="V116" s="512"/>
      <c r="W116" s="512"/>
      <c r="X116" s="512"/>
      <c r="Y116" s="512"/>
      <c r="Z116" s="512"/>
      <c r="AA116" s="512"/>
      <c r="AB116" s="512"/>
      <c r="AC116" s="512"/>
    </row>
    <row r="117" spans="2:29" x14ac:dyDescent="0.25">
      <c r="B117" s="503" t="str">
        <f t="shared" si="5"/>
        <v/>
      </c>
      <c r="D117" s="320"/>
      <c r="E117" s="513"/>
      <c r="F117" s="513"/>
      <c r="G117" s="513"/>
      <c r="H117" s="514"/>
      <c r="I117" s="512"/>
      <c r="J117" s="512"/>
      <c r="K117" s="515"/>
      <c r="L117" s="512"/>
      <c r="M117" s="512"/>
      <c r="N117" s="512"/>
      <c r="O117" s="512"/>
      <c r="P117" s="512"/>
      <c r="Q117" s="512"/>
      <c r="R117" s="512"/>
      <c r="S117" s="512"/>
      <c r="T117" s="512"/>
      <c r="U117" s="512"/>
      <c r="V117" s="512"/>
      <c r="W117" s="512"/>
      <c r="X117" s="512"/>
      <c r="Y117" s="512"/>
      <c r="Z117" s="512"/>
      <c r="AA117" s="512"/>
      <c r="AB117" s="512"/>
      <c r="AC117" s="512"/>
    </row>
    <row r="118" spans="2:29" x14ac:dyDescent="0.25">
      <c r="B118" s="503" t="str">
        <f t="shared" si="5"/>
        <v/>
      </c>
      <c r="D118" s="320"/>
      <c r="E118" s="513"/>
      <c r="F118" s="513"/>
      <c r="G118" s="513"/>
      <c r="H118" s="514"/>
      <c r="I118" s="512"/>
      <c r="J118" s="512"/>
      <c r="K118" s="515"/>
      <c r="L118" s="512"/>
      <c r="M118" s="512"/>
      <c r="N118" s="512"/>
      <c r="O118" s="512"/>
      <c r="P118" s="512"/>
      <c r="Q118" s="512"/>
      <c r="R118" s="512"/>
      <c r="S118" s="512"/>
      <c r="T118" s="512"/>
      <c r="U118" s="512"/>
      <c r="V118" s="512"/>
      <c r="W118" s="512"/>
      <c r="X118" s="512"/>
      <c r="Y118" s="512"/>
      <c r="Z118" s="512"/>
      <c r="AA118" s="512"/>
      <c r="AB118" s="512"/>
      <c r="AC118" s="512"/>
    </row>
    <row r="119" spans="2:29" x14ac:dyDescent="0.25">
      <c r="B119" s="503" t="str">
        <f t="shared" si="5"/>
        <v/>
      </c>
      <c r="D119" s="320"/>
      <c r="E119" s="513"/>
      <c r="F119" s="513"/>
      <c r="G119" s="513"/>
      <c r="H119" s="514"/>
      <c r="I119" s="512"/>
      <c r="J119" s="512"/>
      <c r="K119" s="515"/>
      <c r="L119" s="512"/>
      <c r="M119" s="512"/>
      <c r="N119" s="512"/>
      <c r="O119" s="512"/>
      <c r="P119" s="512"/>
      <c r="Q119" s="512"/>
      <c r="R119" s="512"/>
      <c r="S119" s="512"/>
      <c r="T119" s="512"/>
      <c r="U119" s="512"/>
      <c r="V119" s="512"/>
      <c r="W119" s="512"/>
      <c r="X119" s="512"/>
      <c r="Y119" s="512"/>
      <c r="Z119" s="512"/>
      <c r="AA119" s="512"/>
      <c r="AB119" s="512"/>
      <c r="AC119" s="512"/>
    </row>
    <row r="120" spans="2:29" x14ac:dyDescent="0.25">
      <c r="B120" s="503" t="str">
        <f t="shared" si="5"/>
        <v/>
      </c>
      <c r="D120" s="320"/>
      <c r="E120" s="513"/>
      <c r="F120" s="513"/>
      <c r="G120" s="513"/>
      <c r="H120" s="514"/>
      <c r="I120" s="512"/>
      <c r="J120" s="512"/>
      <c r="K120" s="515"/>
      <c r="L120" s="512"/>
      <c r="M120" s="512"/>
      <c r="N120" s="512"/>
      <c r="O120" s="512"/>
      <c r="P120" s="512"/>
      <c r="Q120" s="512"/>
      <c r="R120" s="512"/>
      <c r="S120" s="512"/>
      <c r="T120" s="512"/>
      <c r="U120" s="512"/>
      <c r="V120" s="512"/>
      <c r="W120" s="512"/>
      <c r="X120" s="512"/>
      <c r="Y120" s="512"/>
      <c r="Z120" s="512"/>
      <c r="AA120" s="512"/>
      <c r="AB120" s="512"/>
      <c r="AC120" s="512"/>
    </row>
    <row r="121" spans="2:29" x14ac:dyDescent="0.25">
      <c r="B121" s="503" t="str">
        <f t="shared" si="5"/>
        <v/>
      </c>
      <c r="D121" s="320"/>
      <c r="E121" s="513"/>
      <c r="F121" s="513"/>
      <c r="G121" s="513"/>
      <c r="H121" s="514"/>
      <c r="I121" s="512"/>
      <c r="J121" s="512"/>
      <c r="K121" s="515"/>
      <c r="L121" s="512"/>
      <c r="M121" s="512"/>
      <c r="N121" s="512"/>
      <c r="O121" s="512"/>
      <c r="P121" s="512"/>
      <c r="Q121" s="512"/>
      <c r="R121" s="512"/>
      <c r="S121" s="512"/>
      <c r="T121" s="512"/>
      <c r="U121" s="512"/>
      <c r="V121" s="512"/>
      <c r="W121" s="512"/>
      <c r="X121" s="512"/>
      <c r="Y121" s="512"/>
      <c r="Z121" s="512"/>
      <c r="AA121" s="512"/>
      <c r="AB121" s="512"/>
      <c r="AC121" s="512"/>
    </row>
    <row r="122" spans="2:29" x14ac:dyDescent="0.25">
      <c r="B122" s="503" t="str">
        <f t="shared" si="5"/>
        <v/>
      </c>
      <c r="D122" s="320"/>
      <c r="E122" s="513"/>
      <c r="F122" s="513"/>
      <c r="G122" s="513"/>
      <c r="H122" s="514"/>
      <c r="I122" s="512"/>
      <c r="J122" s="512"/>
      <c r="K122" s="515"/>
      <c r="L122" s="512"/>
      <c r="M122" s="512"/>
      <c r="N122" s="512"/>
      <c r="O122" s="512"/>
      <c r="P122" s="512"/>
      <c r="Q122" s="512"/>
      <c r="R122" s="512"/>
      <c r="S122" s="512"/>
      <c r="T122" s="512"/>
      <c r="U122" s="512"/>
      <c r="V122" s="512"/>
      <c r="W122" s="512"/>
      <c r="X122" s="512"/>
      <c r="Y122" s="512"/>
      <c r="Z122" s="512"/>
      <c r="AA122" s="512"/>
      <c r="AB122" s="512"/>
      <c r="AC122" s="512"/>
    </row>
    <row r="123" spans="2:29" x14ac:dyDescent="0.25">
      <c r="B123" s="503" t="str">
        <f t="shared" si="5"/>
        <v/>
      </c>
      <c r="D123" s="320"/>
      <c r="E123" s="513"/>
      <c r="F123" s="513"/>
      <c r="G123" s="513"/>
      <c r="H123" s="514"/>
      <c r="I123" s="512"/>
      <c r="J123" s="512"/>
      <c r="K123" s="515"/>
      <c r="L123" s="512"/>
      <c r="M123" s="512"/>
      <c r="N123" s="512"/>
      <c r="O123" s="512"/>
      <c r="P123" s="512"/>
      <c r="Q123" s="512"/>
      <c r="R123" s="512"/>
      <c r="S123" s="512"/>
      <c r="T123" s="512"/>
      <c r="U123" s="512"/>
      <c r="V123" s="512"/>
      <c r="W123" s="512"/>
      <c r="X123" s="512"/>
      <c r="Y123" s="512"/>
      <c r="Z123" s="512"/>
      <c r="AA123" s="512"/>
      <c r="AB123" s="512"/>
      <c r="AC123" s="512"/>
    </row>
    <row r="124" spans="2:29" x14ac:dyDescent="0.25">
      <c r="B124" s="503" t="str">
        <f t="shared" si="5"/>
        <v/>
      </c>
      <c r="D124" s="320"/>
      <c r="E124" s="513"/>
      <c r="F124" s="513"/>
      <c r="G124" s="513"/>
      <c r="H124" s="514"/>
      <c r="I124" s="512"/>
      <c r="J124" s="512"/>
      <c r="K124" s="515"/>
      <c r="L124" s="512"/>
      <c r="M124" s="512"/>
      <c r="N124" s="512"/>
      <c r="O124" s="512"/>
      <c r="P124" s="512"/>
      <c r="Q124" s="512"/>
      <c r="R124" s="512"/>
      <c r="S124" s="512"/>
      <c r="T124" s="512"/>
      <c r="U124" s="512"/>
      <c r="V124" s="512"/>
      <c r="W124" s="512"/>
      <c r="X124" s="512"/>
      <c r="Y124" s="512"/>
      <c r="Z124" s="512"/>
      <c r="AA124" s="512"/>
      <c r="AB124" s="512"/>
      <c r="AC124" s="512"/>
    </row>
    <row r="125" spans="2:29" x14ac:dyDescent="0.25">
      <c r="B125" s="503" t="str">
        <f t="shared" si="5"/>
        <v/>
      </c>
      <c r="D125" s="320"/>
      <c r="E125" s="513"/>
      <c r="F125" s="513"/>
      <c r="G125" s="513"/>
      <c r="H125" s="514"/>
      <c r="I125" s="512"/>
      <c r="J125" s="512"/>
      <c r="K125" s="515"/>
      <c r="L125" s="512"/>
      <c r="M125" s="512"/>
      <c r="N125" s="512"/>
      <c r="O125" s="512"/>
      <c r="P125" s="512"/>
      <c r="Q125" s="512"/>
      <c r="R125" s="512"/>
      <c r="S125" s="512"/>
      <c r="T125" s="512"/>
      <c r="U125" s="512"/>
      <c r="V125" s="512"/>
      <c r="W125" s="512"/>
      <c r="X125" s="512"/>
      <c r="Y125" s="512"/>
      <c r="Z125" s="512"/>
      <c r="AA125" s="512"/>
      <c r="AB125" s="512"/>
      <c r="AC125" s="512"/>
    </row>
    <row r="126" spans="2:29" x14ac:dyDescent="0.25">
      <c r="B126" s="503" t="str">
        <f t="shared" si="5"/>
        <v/>
      </c>
      <c r="D126" s="320"/>
      <c r="E126" s="513"/>
      <c r="F126" s="513"/>
      <c r="G126" s="513"/>
      <c r="H126" s="514"/>
      <c r="I126" s="512"/>
      <c r="J126" s="512"/>
      <c r="K126" s="515"/>
      <c r="L126" s="512"/>
      <c r="M126" s="512"/>
      <c r="N126" s="512"/>
      <c r="O126" s="512"/>
      <c r="P126" s="512"/>
      <c r="Q126" s="512"/>
      <c r="R126" s="512"/>
      <c r="S126" s="512"/>
      <c r="T126" s="512"/>
      <c r="U126" s="512"/>
      <c r="V126" s="512"/>
      <c r="W126" s="512"/>
      <c r="X126" s="512"/>
      <c r="Y126" s="512"/>
      <c r="Z126" s="512"/>
      <c r="AA126" s="512"/>
      <c r="AB126" s="512"/>
      <c r="AC126" s="512"/>
    </row>
    <row r="127" spans="2:29" x14ac:dyDescent="0.25">
      <c r="B127" s="503" t="str">
        <f t="shared" si="5"/>
        <v/>
      </c>
      <c r="D127" s="320"/>
      <c r="E127" s="513"/>
      <c r="F127" s="513"/>
      <c r="G127" s="513"/>
      <c r="H127" s="514"/>
      <c r="I127" s="512"/>
      <c r="J127" s="512"/>
      <c r="K127" s="515"/>
      <c r="L127" s="512"/>
      <c r="M127" s="512"/>
      <c r="N127" s="512"/>
      <c r="O127" s="512"/>
      <c r="P127" s="512"/>
      <c r="Q127" s="512"/>
      <c r="R127" s="512"/>
      <c r="S127" s="512"/>
      <c r="T127" s="512"/>
      <c r="U127" s="512"/>
      <c r="V127" s="512"/>
      <c r="W127" s="512"/>
      <c r="X127" s="512"/>
      <c r="Y127" s="512"/>
      <c r="Z127" s="512"/>
      <c r="AA127" s="512"/>
      <c r="AB127" s="512"/>
      <c r="AC127" s="512"/>
    </row>
    <row r="128" spans="2:29" x14ac:dyDescent="0.25">
      <c r="B128" s="503" t="str">
        <f t="shared" si="5"/>
        <v/>
      </c>
      <c r="D128" s="320"/>
      <c r="E128" s="513"/>
      <c r="F128" s="513"/>
      <c r="G128" s="513"/>
      <c r="H128" s="514"/>
      <c r="I128" s="512"/>
      <c r="J128" s="512"/>
      <c r="K128" s="515"/>
      <c r="L128" s="512"/>
      <c r="M128" s="512"/>
      <c r="N128" s="512"/>
      <c r="O128" s="512"/>
      <c r="P128" s="512"/>
      <c r="Q128" s="512"/>
      <c r="R128" s="512"/>
      <c r="S128" s="512"/>
      <c r="T128" s="512"/>
      <c r="U128" s="512"/>
      <c r="V128" s="512"/>
      <c r="W128" s="512"/>
      <c r="X128" s="512"/>
      <c r="Y128" s="512"/>
      <c r="Z128" s="512"/>
      <c r="AA128" s="512"/>
      <c r="AB128" s="512"/>
      <c r="AC128" s="512"/>
    </row>
    <row r="129" spans="2:29" x14ac:dyDescent="0.25">
      <c r="B129" s="503" t="str">
        <f t="shared" si="5"/>
        <v/>
      </c>
      <c r="D129" s="320"/>
      <c r="E129" s="513"/>
      <c r="F129" s="513"/>
      <c r="G129" s="513"/>
      <c r="H129" s="514"/>
      <c r="I129" s="512"/>
      <c r="J129" s="512"/>
      <c r="K129" s="515"/>
      <c r="L129" s="512"/>
      <c r="M129" s="512"/>
      <c r="N129" s="512"/>
      <c r="O129" s="512"/>
      <c r="P129" s="512"/>
      <c r="Q129" s="512"/>
      <c r="R129" s="512"/>
      <c r="S129" s="512"/>
      <c r="T129" s="512"/>
      <c r="U129" s="512"/>
      <c r="V129" s="512"/>
      <c r="W129" s="512"/>
      <c r="X129" s="512"/>
      <c r="Y129" s="512"/>
      <c r="Z129" s="512"/>
      <c r="AA129" s="512"/>
      <c r="AB129" s="512"/>
      <c r="AC129" s="512"/>
    </row>
    <row r="130" spans="2:29" x14ac:dyDescent="0.25">
      <c r="B130" s="503" t="str">
        <f t="shared" si="5"/>
        <v/>
      </c>
      <c r="D130" s="320"/>
      <c r="E130" s="513"/>
      <c r="F130" s="513"/>
      <c r="G130" s="513"/>
      <c r="H130" s="514"/>
      <c r="I130" s="512"/>
      <c r="J130" s="512"/>
      <c r="K130" s="515"/>
      <c r="L130" s="512"/>
      <c r="M130" s="512"/>
      <c r="N130" s="512"/>
      <c r="O130" s="512"/>
      <c r="P130" s="512"/>
      <c r="Q130" s="512"/>
      <c r="R130" s="512"/>
      <c r="S130" s="512"/>
      <c r="T130" s="512"/>
      <c r="U130" s="512"/>
      <c r="V130" s="512"/>
      <c r="W130" s="512"/>
      <c r="X130" s="512"/>
      <c r="Y130" s="512"/>
      <c r="Z130" s="512"/>
      <c r="AA130" s="512"/>
      <c r="AB130" s="512"/>
      <c r="AC130" s="512"/>
    </row>
    <row r="131" spans="2:29" x14ac:dyDescent="0.25">
      <c r="B131" s="503" t="str">
        <f t="shared" si="5"/>
        <v/>
      </c>
      <c r="D131" s="320"/>
      <c r="E131" s="513"/>
      <c r="F131" s="513"/>
      <c r="G131" s="513"/>
      <c r="H131" s="514"/>
      <c r="I131" s="512"/>
      <c r="J131" s="512"/>
      <c r="K131" s="515"/>
      <c r="L131" s="512"/>
      <c r="M131" s="512"/>
      <c r="N131" s="512"/>
      <c r="O131" s="512"/>
      <c r="P131" s="512"/>
      <c r="Q131" s="512"/>
      <c r="R131" s="512"/>
      <c r="S131" s="512"/>
      <c r="T131" s="512"/>
      <c r="U131" s="512"/>
      <c r="V131" s="512"/>
      <c r="W131" s="512"/>
      <c r="X131" s="512"/>
      <c r="Y131" s="512"/>
      <c r="Z131" s="512"/>
      <c r="AA131" s="512"/>
      <c r="AB131" s="512"/>
      <c r="AC131" s="512"/>
    </row>
    <row r="132" spans="2:29" x14ac:dyDescent="0.25">
      <c r="B132" s="503" t="str">
        <f t="shared" si="5"/>
        <v/>
      </c>
      <c r="D132" s="320"/>
      <c r="E132" s="513"/>
      <c r="F132" s="513"/>
      <c r="G132" s="513"/>
      <c r="H132" s="514"/>
      <c r="I132" s="512"/>
      <c r="J132" s="512"/>
      <c r="K132" s="515"/>
      <c r="L132" s="512"/>
      <c r="M132" s="512"/>
      <c r="N132" s="512"/>
      <c r="O132" s="512"/>
      <c r="P132" s="512"/>
      <c r="Q132" s="512"/>
      <c r="R132" s="512"/>
      <c r="S132" s="512"/>
      <c r="T132" s="512"/>
      <c r="U132" s="512"/>
      <c r="V132" s="512"/>
      <c r="W132" s="512"/>
      <c r="X132" s="512"/>
      <c r="Y132" s="512"/>
      <c r="Z132" s="512"/>
      <c r="AA132" s="512"/>
      <c r="AB132" s="512"/>
      <c r="AC132" s="512"/>
    </row>
    <row r="133" spans="2:29" x14ac:dyDescent="0.25">
      <c r="B133" s="503" t="str">
        <f t="shared" si="5"/>
        <v/>
      </c>
      <c r="D133" s="320"/>
      <c r="E133" s="513"/>
      <c r="F133" s="513"/>
      <c r="G133" s="513"/>
      <c r="H133" s="514"/>
      <c r="I133" s="512"/>
      <c r="J133" s="512"/>
      <c r="K133" s="515"/>
      <c r="L133" s="512"/>
      <c r="M133" s="512"/>
      <c r="N133" s="512"/>
      <c r="O133" s="512"/>
      <c r="P133" s="512"/>
      <c r="Q133" s="512"/>
      <c r="R133" s="512"/>
      <c r="S133" s="512"/>
      <c r="T133" s="512"/>
      <c r="U133" s="512"/>
      <c r="V133" s="512"/>
      <c r="W133" s="512"/>
      <c r="X133" s="512"/>
      <c r="Y133" s="512"/>
      <c r="Z133" s="512"/>
      <c r="AA133" s="512"/>
      <c r="AB133" s="512"/>
      <c r="AC133" s="512"/>
    </row>
    <row r="134" spans="2:29" x14ac:dyDescent="0.25">
      <c r="B134" s="503" t="str">
        <f t="shared" si="5"/>
        <v/>
      </c>
      <c r="D134" s="320"/>
      <c r="E134" s="513"/>
      <c r="F134" s="513"/>
      <c r="G134" s="513"/>
      <c r="H134" s="514"/>
      <c r="I134" s="512"/>
      <c r="J134" s="512"/>
      <c r="K134" s="515"/>
      <c r="L134" s="512"/>
      <c r="M134" s="512"/>
      <c r="N134" s="512"/>
      <c r="O134" s="512"/>
      <c r="P134" s="512"/>
      <c r="Q134" s="512"/>
      <c r="R134" s="512"/>
      <c r="S134" s="512"/>
      <c r="T134" s="512"/>
      <c r="U134" s="512"/>
      <c r="V134" s="512"/>
      <c r="W134" s="512"/>
      <c r="X134" s="512"/>
      <c r="Y134" s="512"/>
      <c r="Z134" s="512"/>
      <c r="AA134" s="512"/>
      <c r="AB134" s="512"/>
      <c r="AC134" s="512"/>
    </row>
    <row r="135" spans="2:29" x14ac:dyDescent="0.25">
      <c r="B135" s="503" t="str">
        <f t="shared" si="5"/>
        <v/>
      </c>
      <c r="D135" s="320"/>
      <c r="E135" s="513"/>
      <c r="F135" s="513"/>
      <c r="G135" s="513"/>
      <c r="H135" s="514"/>
      <c r="I135" s="512"/>
      <c r="J135" s="512"/>
      <c r="K135" s="515"/>
      <c r="L135" s="512"/>
      <c r="M135" s="512"/>
      <c r="N135" s="512"/>
      <c r="O135" s="512"/>
      <c r="P135" s="512"/>
      <c r="Q135" s="512"/>
      <c r="R135" s="512"/>
      <c r="S135" s="512"/>
      <c r="T135" s="512"/>
      <c r="U135" s="512"/>
      <c r="V135" s="512"/>
      <c r="W135" s="512"/>
      <c r="X135" s="512"/>
      <c r="Y135" s="512"/>
      <c r="Z135" s="512"/>
      <c r="AA135" s="512"/>
      <c r="AB135" s="512"/>
      <c r="AC135" s="512"/>
    </row>
    <row r="136" spans="2:29" x14ac:dyDescent="0.25">
      <c r="B136" s="503" t="str">
        <f t="shared" si="5"/>
        <v/>
      </c>
      <c r="D136" s="320"/>
      <c r="E136" s="513"/>
      <c r="F136" s="513"/>
      <c r="G136" s="513"/>
      <c r="H136" s="514"/>
      <c r="I136" s="512"/>
      <c r="J136" s="512"/>
      <c r="K136" s="515"/>
      <c r="L136" s="512"/>
      <c r="M136" s="512"/>
      <c r="N136" s="512"/>
      <c r="O136" s="512"/>
      <c r="P136" s="512"/>
      <c r="Q136" s="512"/>
      <c r="R136" s="512"/>
      <c r="S136" s="512"/>
      <c r="T136" s="512"/>
      <c r="U136" s="512"/>
      <c r="V136" s="512"/>
      <c r="W136" s="512"/>
      <c r="X136" s="512"/>
      <c r="Y136" s="512"/>
      <c r="Z136" s="512"/>
      <c r="AA136" s="512"/>
      <c r="AB136" s="512"/>
      <c r="AC136" s="512"/>
    </row>
    <row r="137" spans="2:29" x14ac:dyDescent="0.25">
      <c r="B137" s="503" t="str">
        <f t="shared" si="5"/>
        <v/>
      </c>
      <c r="D137" s="320"/>
      <c r="E137" s="513"/>
      <c r="F137" s="513"/>
      <c r="G137" s="513"/>
      <c r="H137" s="514"/>
      <c r="I137" s="512"/>
      <c r="J137" s="512"/>
      <c r="K137" s="515"/>
      <c r="L137" s="512"/>
      <c r="M137" s="512"/>
      <c r="N137" s="512"/>
      <c r="O137" s="512"/>
      <c r="P137" s="512"/>
      <c r="Q137" s="512"/>
      <c r="R137" s="512"/>
      <c r="S137" s="512"/>
      <c r="T137" s="512"/>
      <c r="U137" s="512"/>
      <c r="V137" s="512"/>
      <c r="W137" s="512"/>
      <c r="X137" s="512"/>
      <c r="Y137" s="512"/>
      <c r="Z137" s="512"/>
      <c r="AA137" s="512"/>
      <c r="AB137" s="512"/>
      <c r="AC137" s="512"/>
    </row>
    <row r="138" spans="2:29" x14ac:dyDescent="0.25">
      <c r="B138" s="503" t="str">
        <f t="shared" si="5"/>
        <v/>
      </c>
      <c r="D138" s="320"/>
      <c r="E138" s="513"/>
      <c r="F138" s="513"/>
      <c r="G138" s="513"/>
      <c r="H138" s="514"/>
      <c r="I138" s="512"/>
      <c r="J138" s="512"/>
      <c r="K138" s="515"/>
      <c r="L138" s="512"/>
      <c r="M138" s="512"/>
      <c r="N138" s="512"/>
      <c r="O138" s="512"/>
      <c r="P138" s="512"/>
      <c r="Q138" s="512"/>
      <c r="R138" s="512"/>
      <c r="S138" s="512"/>
      <c r="T138" s="512"/>
      <c r="U138" s="512"/>
      <c r="V138" s="512"/>
      <c r="W138" s="512"/>
      <c r="X138" s="512"/>
      <c r="Y138" s="512"/>
      <c r="Z138" s="512"/>
      <c r="AA138" s="512"/>
      <c r="AB138" s="512"/>
      <c r="AC138" s="512"/>
    </row>
    <row r="139" spans="2:29" x14ac:dyDescent="0.25">
      <c r="B139" s="503" t="str">
        <f t="shared" ref="B139:B200" si="6">IF(AND(C139&lt;&gt;"",D139&lt;&gt;""),ROW()-9,"")</f>
        <v/>
      </c>
      <c r="D139" s="320"/>
      <c r="E139" s="513"/>
      <c r="F139" s="513"/>
      <c r="G139" s="513"/>
      <c r="H139" s="514"/>
      <c r="I139" s="512"/>
      <c r="J139" s="512"/>
      <c r="K139" s="515"/>
      <c r="L139" s="512"/>
      <c r="M139" s="512"/>
      <c r="N139" s="512"/>
      <c r="O139" s="512"/>
      <c r="P139" s="512"/>
      <c r="Q139" s="512"/>
      <c r="R139" s="512"/>
      <c r="S139" s="512"/>
      <c r="T139" s="512"/>
      <c r="U139" s="512"/>
      <c r="V139" s="512"/>
      <c r="W139" s="512"/>
      <c r="X139" s="512"/>
      <c r="Y139" s="512"/>
      <c r="Z139" s="512"/>
      <c r="AA139" s="512"/>
      <c r="AB139" s="512"/>
      <c r="AC139" s="512"/>
    </row>
    <row r="140" spans="2:29" x14ac:dyDescent="0.25">
      <c r="B140" s="503" t="str">
        <f t="shared" si="6"/>
        <v/>
      </c>
      <c r="D140" s="320"/>
      <c r="E140" s="513"/>
      <c r="F140" s="513"/>
      <c r="G140" s="513"/>
      <c r="H140" s="514"/>
      <c r="I140" s="512"/>
      <c r="J140" s="512"/>
      <c r="K140" s="515"/>
      <c r="L140" s="512"/>
      <c r="M140" s="512"/>
      <c r="N140" s="512"/>
      <c r="O140" s="512"/>
      <c r="P140" s="512"/>
      <c r="Q140" s="512"/>
      <c r="R140" s="512"/>
      <c r="S140" s="512"/>
      <c r="T140" s="512"/>
      <c r="U140" s="512"/>
      <c r="V140" s="512"/>
      <c r="W140" s="512"/>
      <c r="X140" s="512"/>
      <c r="Y140" s="512"/>
      <c r="Z140" s="512"/>
      <c r="AA140" s="512"/>
      <c r="AB140" s="512"/>
      <c r="AC140" s="512"/>
    </row>
    <row r="141" spans="2:29" x14ac:dyDescent="0.25">
      <c r="B141" s="503" t="str">
        <f t="shared" si="6"/>
        <v/>
      </c>
      <c r="D141" s="320"/>
      <c r="E141" s="320"/>
      <c r="F141" s="321"/>
      <c r="G141" s="320"/>
      <c r="H141" s="322"/>
      <c r="I141" s="319"/>
      <c r="J141" s="482"/>
    </row>
    <row r="142" spans="2:29" x14ac:dyDescent="0.25">
      <c r="B142" s="503" t="str">
        <f t="shared" si="6"/>
        <v/>
      </c>
      <c r="D142" s="320"/>
      <c r="E142" s="320"/>
      <c r="F142" s="321"/>
      <c r="G142" s="320"/>
      <c r="H142" s="322"/>
      <c r="I142" s="319"/>
      <c r="J142" s="482"/>
    </row>
    <row r="143" spans="2:29" x14ac:dyDescent="0.25">
      <c r="B143" s="503" t="str">
        <f t="shared" si="6"/>
        <v/>
      </c>
      <c r="D143" s="320"/>
      <c r="E143" s="320"/>
      <c r="F143" s="321"/>
      <c r="G143" s="320"/>
      <c r="H143" s="322"/>
      <c r="I143" s="319"/>
      <c r="J143" s="482"/>
    </row>
    <row r="144" spans="2:29" x14ac:dyDescent="0.25">
      <c r="B144" s="503" t="str">
        <f t="shared" si="6"/>
        <v/>
      </c>
      <c r="D144" s="320"/>
      <c r="E144" s="320"/>
      <c r="F144" s="321"/>
      <c r="G144" s="320"/>
      <c r="H144" s="322"/>
      <c r="I144" s="319"/>
      <c r="J144" s="482"/>
    </row>
    <row r="145" spans="2:10" x14ac:dyDescent="0.25">
      <c r="B145" s="503" t="str">
        <f t="shared" si="6"/>
        <v/>
      </c>
      <c r="D145" s="320"/>
      <c r="E145" s="320"/>
      <c r="F145" s="321"/>
      <c r="G145" s="320"/>
      <c r="H145" s="322"/>
      <c r="I145" s="319"/>
      <c r="J145" s="482"/>
    </row>
    <row r="146" spans="2:10" x14ac:dyDescent="0.25">
      <c r="B146" s="503" t="str">
        <f t="shared" si="6"/>
        <v/>
      </c>
      <c r="D146" s="320"/>
      <c r="E146" s="320"/>
      <c r="F146" s="321"/>
      <c r="G146" s="320"/>
      <c r="H146" s="322"/>
      <c r="I146" s="319"/>
      <c r="J146" s="482"/>
    </row>
    <row r="147" spans="2:10" x14ac:dyDescent="0.25">
      <c r="B147" s="503" t="str">
        <f t="shared" si="6"/>
        <v/>
      </c>
      <c r="D147" s="320"/>
      <c r="E147" s="320"/>
      <c r="F147" s="321"/>
      <c r="G147" s="320"/>
      <c r="H147" s="322"/>
      <c r="I147" s="319"/>
      <c r="J147" s="482"/>
    </row>
    <row r="148" spans="2:10" x14ac:dyDescent="0.25">
      <c r="B148" s="503" t="str">
        <f t="shared" si="6"/>
        <v/>
      </c>
      <c r="D148" s="320"/>
      <c r="E148" s="320"/>
      <c r="F148" s="321"/>
      <c r="G148" s="320"/>
      <c r="H148" s="322"/>
      <c r="I148" s="319"/>
      <c r="J148" s="482"/>
    </row>
    <row r="149" spans="2:10" x14ac:dyDescent="0.25">
      <c r="B149" s="503" t="str">
        <f t="shared" si="6"/>
        <v/>
      </c>
      <c r="D149" s="320"/>
      <c r="E149" s="320"/>
      <c r="F149" s="321"/>
      <c r="G149" s="320"/>
      <c r="H149" s="322"/>
      <c r="I149" s="319"/>
      <c r="J149" s="482"/>
    </row>
    <row r="150" spans="2:10" x14ac:dyDescent="0.25">
      <c r="B150" s="503" t="str">
        <f t="shared" si="6"/>
        <v/>
      </c>
      <c r="D150" s="320"/>
      <c r="E150" s="320"/>
      <c r="F150" s="321"/>
      <c r="G150" s="320"/>
      <c r="H150" s="322"/>
      <c r="I150" s="319"/>
      <c r="J150" s="482"/>
    </row>
    <row r="151" spans="2:10" x14ac:dyDescent="0.25">
      <c r="B151" s="503" t="str">
        <f t="shared" si="6"/>
        <v/>
      </c>
      <c r="D151" s="320"/>
      <c r="E151" s="320"/>
      <c r="F151" s="321"/>
      <c r="G151" s="320"/>
      <c r="H151" s="322"/>
      <c r="I151" s="319"/>
      <c r="J151" s="482"/>
    </row>
    <row r="152" spans="2:10" x14ac:dyDescent="0.25">
      <c r="B152" s="503" t="str">
        <f t="shared" si="6"/>
        <v/>
      </c>
      <c r="D152" s="320"/>
      <c r="E152" s="320"/>
      <c r="F152" s="321"/>
      <c r="G152" s="320"/>
      <c r="H152" s="322"/>
      <c r="I152" s="319"/>
      <c r="J152" s="482"/>
    </row>
    <row r="153" spans="2:10" x14ac:dyDescent="0.25">
      <c r="B153" s="503" t="str">
        <f t="shared" si="6"/>
        <v/>
      </c>
      <c r="D153" s="320"/>
      <c r="E153" s="320"/>
      <c r="F153" s="321"/>
      <c r="G153" s="320"/>
      <c r="H153" s="322"/>
      <c r="I153" s="319"/>
      <c r="J153" s="482"/>
    </row>
    <row r="154" spans="2:10" x14ac:dyDescent="0.25">
      <c r="B154" s="503" t="str">
        <f t="shared" si="6"/>
        <v/>
      </c>
      <c r="D154" s="320"/>
      <c r="E154" s="320"/>
      <c r="F154" s="321"/>
      <c r="G154" s="320"/>
      <c r="H154" s="322"/>
      <c r="I154" s="319"/>
      <c r="J154" s="482"/>
    </row>
    <row r="155" spans="2:10" x14ac:dyDescent="0.25">
      <c r="B155" s="503" t="str">
        <f t="shared" si="6"/>
        <v/>
      </c>
      <c r="D155" s="320"/>
      <c r="E155" s="320"/>
      <c r="F155" s="321"/>
      <c r="G155" s="320"/>
      <c r="H155" s="322"/>
      <c r="I155" s="319"/>
      <c r="J155" s="482"/>
    </row>
    <row r="156" spans="2:10" x14ac:dyDescent="0.25">
      <c r="B156" s="503" t="str">
        <f t="shared" si="6"/>
        <v/>
      </c>
      <c r="D156" s="320"/>
      <c r="E156" s="320"/>
      <c r="F156" s="321"/>
      <c r="G156" s="320"/>
      <c r="H156" s="322"/>
      <c r="I156" s="319"/>
      <c r="J156" s="482"/>
    </row>
    <row r="157" spans="2:10" x14ac:dyDescent="0.25">
      <c r="B157" s="503" t="str">
        <f t="shared" si="6"/>
        <v/>
      </c>
      <c r="D157" s="320"/>
      <c r="E157" s="320"/>
      <c r="F157" s="321"/>
      <c r="G157" s="320"/>
      <c r="H157" s="322"/>
      <c r="I157" s="319"/>
      <c r="J157" s="482"/>
    </row>
    <row r="158" spans="2:10" x14ac:dyDescent="0.25">
      <c r="B158" s="503" t="str">
        <f t="shared" si="6"/>
        <v/>
      </c>
      <c r="D158" s="320"/>
      <c r="E158" s="320"/>
      <c r="F158" s="321"/>
      <c r="G158" s="320"/>
      <c r="H158" s="322"/>
      <c r="I158" s="319"/>
      <c r="J158" s="482"/>
    </row>
    <row r="159" spans="2:10" x14ac:dyDescent="0.25">
      <c r="B159" s="503" t="str">
        <f t="shared" si="6"/>
        <v/>
      </c>
      <c r="D159" s="320"/>
      <c r="E159" s="320"/>
      <c r="F159" s="321"/>
      <c r="G159" s="320"/>
      <c r="H159" s="322"/>
      <c r="I159" s="319"/>
      <c r="J159" s="482"/>
    </row>
    <row r="160" spans="2:10" x14ac:dyDescent="0.25">
      <c r="B160" s="503" t="str">
        <f t="shared" si="6"/>
        <v/>
      </c>
      <c r="D160" s="320"/>
      <c r="E160" s="320"/>
      <c r="F160" s="321"/>
      <c r="G160" s="320"/>
      <c r="H160" s="322"/>
      <c r="I160" s="319"/>
      <c r="J160" s="482"/>
    </row>
    <row r="161" spans="2:10" x14ac:dyDescent="0.25">
      <c r="B161" s="503" t="str">
        <f t="shared" si="6"/>
        <v/>
      </c>
      <c r="D161" s="320"/>
      <c r="E161" s="320"/>
      <c r="F161" s="321"/>
      <c r="G161" s="320"/>
      <c r="H161" s="322"/>
      <c r="I161" s="319"/>
      <c r="J161" s="482"/>
    </row>
    <row r="162" spans="2:10" x14ac:dyDescent="0.25">
      <c r="B162" s="503" t="str">
        <f t="shared" si="6"/>
        <v/>
      </c>
      <c r="D162" s="320"/>
      <c r="E162" s="320"/>
      <c r="F162" s="321"/>
      <c r="G162" s="320"/>
      <c r="H162" s="322"/>
      <c r="I162" s="319"/>
      <c r="J162" s="482"/>
    </row>
    <row r="163" spans="2:10" x14ac:dyDescent="0.25">
      <c r="B163" s="503" t="str">
        <f t="shared" si="6"/>
        <v/>
      </c>
      <c r="D163" s="320"/>
      <c r="E163" s="320"/>
      <c r="F163" s="321"/>
      <c r="G163" s="320"/>
      <c r="H163" s="322"/>
      <c r="I163" s="319"/>
      <c r="J163" s="482"/>
    </row>
    <row r="164" spans="2:10" x14ac:dyDescent="0.25">
      <c r="B164" s="503" t="str">
        <f t="shared" si="6"/>
        <v/>
      </c>
      <c r="D164" s="320"/>
      <c r="E164" s="320"/>
      <c r="F164" s="321"/>
      <c r="G164" s="320"/>
      <c r="H164" s="322"/>
      <c r="I164" s="319"/>
      <c r="J164" s="482"/>
    </row>
    <row r="165" spans="2:10" x14ac:dyDescent="0.25">
      <c r="B165" s="503" t="str">
        <f t="shared" si="6"/>
        <v/>
      </c>
      <c r="D165" s="320"/>
      <c r="E165" s="320"/>
      <c r="F165" s="321"/>
      <c r="G165" s="320"/>
      <c r="H165" s="322"/>
      <c r="I165" s="319"/>
      <c r="J165" s="482"/>
    </row>
    <row r="166" spans="2:10" x14ac:dyDescent="0.25">
      <c r="B166" s="503" t="str">
        <f t="shared" si="6"/>
        <v/>
      </c>
      <c r="D166" s="320"/>
      <c r="E166" s="320"/>
      <c r="F166" s="321"/>
      <c r="G166" s="320"/>
      <c r="H166" s="322"/>
      <c r="I166" s="319"/>
      <c r="J166" s="482"/>
    </row>
    <row r="167" spans="2:10" x14ac:dyDescent="0.25">
      <c r="B167" s="503" t="str">
        <f t="shared" si="6"/>
        <v/>
      </c>
      <c r="D167" s="320"/>
      <c r="E167" s="320"/>
      <c r="F167" s="321"/>
      <c r="G167" s="320"/>
      <c r="H167" s="322"/>
      <c r="I167" s="319"/>
      <c r="J167" s="482"/>
    </row>
    <row r="168" spans="2:10" x14ac:dyDescent="0.25">
      <c r="B168" s="503" t="str">
        <f t="shared" si="6"/>
        <v/>
      </c>
      <c r="D168" s="320"/>
      <c r="E168" s="320"/>
      <c r="F168" s="321"/>
      <c r="G168" s="320"/>
      <c r="H168" s="322"/>
      <c r="I168" s="319"/>
      <c r="J168" s="482"/>
    </row>
    <row r="169" spans="2:10" x14ac:dyDescent="0.25">
      <c r="B169" s="503" t="str">
        <f t="shared" si="6"/>
        <v/>
      </c>
      <c r="D169" s="320"/>
      <c r="E169" s="320"/>
      <c r="F169" s="321"/>
      <c r="G169" s="320"/>
      <c r="H169" s="322"/>
      <c r="I169" s="319"/>
      <c r="J169" s="482"/>
    </row>
    <row r="170" spans="2:10" x14ac:dyDescent="0.25">
      <c r="B170" s="503" t="str">
        <f t="shared" si="6"/>
        <v/>
      </c>
      <c r="D170" s="320"/>
      <c r="E170" s="320"/>
      <c r="F170" s="321"/>
      <c r="G170" s="320"/>
      <c r="H170" s="322"/>
      <c r="I170" s="319"/>
      <c r="J170" s="482"/>
    </row>
    <row r="171" spans="2:10" x14ac:dyDescent="0.25">
      <c r="B171" s="503" t="str">
        <f t="shared" si="6"/>
        <v/>
      </c>
      <c r="D171" s="320"/>
      <c r="E171" s="320"/>
      <c r="F171" s="321"/>
      <c r="G171" s="320"/>
      <c r="H171" s="322"/>
      <c r="I171" s="319"/>
      <c r="J171" s="482"/>
    </row>
    <row r="172" spans="2:10" x14ac:dyDescent="0.25">
      <c r="B172" s="503" t="str">
        <f t="shared" si="6"/>
        <v/>
      </c>
      <c r="D172" s="320"/>
      <c r="E172" s="320"/>
      <c r="F172" s="321"/>
      <c r="G172" s="320"/>
      <c r="H172" s="322"/>
      <c r="I172" s="319"/>
      <c r="J172" s="482"/>
    </row>
    <row r="173" spans="2:10" x14ac:dyDescent="0.25">
      <c r="B173" s="503" t="str">
        <f t="shared" si="6"/>
        <v/>
      </c>
      <c r="D173" s="320"/>
      <c r="E173" s="320"/>
      <c r="F173" s="321"/>
      <c r="G173" s="320"/>
      <c r="H173" s="322"/>
      <c r="I173" s="319"/>
      <c r="J173" s="482"/>
    </row>
    <row r="174" spans="2:10" x14ac:dyDescent="0.25">
      <c r="B174" s="503" t="str">
        <f t="shared" si="6"/>
        <v/>
      </c>
      <c r="D174" s="320"/>
      <c r="E174" s="320"/>
      <c r="F174" s="321"/>
      <c r="G174" s="320"/>
      <c r="H174" s="322"/>
      <c r="I174" s="319"/>
      <c r="J174" s="482"/>
    </row>
    <row r="175" spans="2:10" x14ac:dyDescent="0.25">
      <c r="B175" s="503" t="str">
        <f t="shared" si="6"/>
        <v/>
      </c>
      <c r="D175" s="320"/>
      <c r="E175" s="320"/>
      <c r="F175" s="321"/>
      <c r="G175" s="320"/>
      <c r="H175" s="322"/>
      <c r="I175" s="319"/>
      <c r="J175" s="482"/>
    </row>
    <row r="176" spans="2:10" x14ac:dyDescent="0.25">
      <c r="B176" s="503" t="str">
        <f t="shared" si="6"/>
        <v/>
      </c>
      <c r="D176" s="320"/>
      <c r="E176" s="320"/>
      <c r="F176" s="321"/>
      <c r="G176" s="320"/>
      <c r="H176" s="322"/>
      <c r="I176" s="319"/>
      <c r="J176" s="482"/>
    </row>
    <row r="177" spans="2:10" x14ac:dyDescent="0.25">
      <c r="B177" s="503" t="str">
        <f t="shared" si="6"/>
        <v/>
      </c>
      <c r="D177" s="320"/>
      <c r="E177" s="320"/>
      <c r="F177" s="321"/>
      <c r="G177" s="320"/>
      <c r="H177" s="322"/>
      <c r="I177" s="319"/>
      <c r="J177" s="482"/>
    </row>
    <row r="178" spans="2:10" x14ac:dyDescent="0.25">
      <c r="B178" s="503" t="str">
        <f t="shared" si="6"/>
        <v/>
      </c>
      <c r="D178" s="320"/>
      <c r="E178" s="320"/>
      <c r="F178" s="321"/>
      <c r="G178" s="320"/>
      <c r="H178" s="322"/>
      <c r="I178" s="319"/>
      <c r="J178" s="482"/>
    </row>
    <row r="179" spans="2:10" x14ac:dyDescent="0.25">
      <c r="B179" s="506" t="str">
        <f t="shared" si="6"/>
        <v/>
      </c>
      <c r="D179" s="320"/>
      <c r="E179" s="320"/>
      <c r="F179" s="321"/>
      <c r="G179" s="320"/>
      <c r="H179" s="322"/>
      <c r="I179" s="319"/>
      <c r="J179" s="482"/>
    </row>
    <row r="180" spans="2:10" x14ac:dyDescent="0.25">
      <c r="B180" s="506" t="str">
        <f t="shared" si="6"/>
        <v/>
      </c>
      <c r="D180" s="320"/>
      <c r="E180" s="320"/>
      <c r="F180" s="321"/>
      <c r="G180" s="320"/>
      <c r="H180" s="322"/>
      <c r="I180" s="319"/>
      <c r="J180" s="482"/>
    </row>
    <row r="181" spans="2:10" x14ac:dyDescent="0.25">
      <c r="B181" s="483" t="str">
        <f t="shared" si="6"/>
        <v/>
      </c>
      <c r="D181" s="320"/>
      <c r="E181" s="320"/>
      <c r="F181" s="321"/>
      <c r="G181" s="320"/>
      <c r="H181" s="322"/>
      <c r="I181" s="319"/>
      <c r="J181" s="482"/>
    </row>
    <row r="182" spans="2:10" x14ac:dyDescent="0.25">
      <c r="B182" s="483" t="str">
        <f t="shared" si="6"/>
        <v/>
      </c>
      <c r="D182" s="320"/>
      <c r="E182" s="320"/>
      <c r="F182" s="321"/>
      <c r="G182" s="320"/>
      <c r="H182" s="322"/>
      <c r="I182" s="319"/>
      <c r="J182" s="482"/>
    </row>
    <row r="183" spans="2:10" x14ac:dyDescent="0.25">
      <c r="B183" s="483" t="str">
        <f t="shared" si="6"/>
        <v/>
      </c>
      <c r="D183" s="320"/>
      <c r="E183" s="320"/>
      <c r="F183" s="321"/>
      <c r="G183" s="320"/>
      <c r="H183" s="322"/>
      <c r="I183" s="319"/>
      <c r="J183" s="482"/>
    </row>
    <row r="184" spans="2:10" x14ac:dyDescent="0.25">
      <c r="B184" s="483" t="str">
        <f t="shared" si="6"/>
        <v/>
      </c>
      <c r="D184" s="320"/>
      <c r="E184" s="320"/>
      <c r="F184" s="321"/>
      <c r="G184" s="320"/>
      <c r="H184" s="322"/>
      <c r="I184" s="319"/>
      <c r="J184" s="482"/>
    </row>
    <row r="185" spans="2:10" x14ac:dyDescent="0.25">
      <c r="B185" s="483" t="str">
        <f t="shared" si="6"/>
        <v/>
      </c>
      <c r="D185" s="320"/>
      <c r="E185" s="320"/>
      <c r="F185" s="321"/>
      <c r="G185" s="320"/>
      <c r="H185" s="322"/>
      <c r="I185" s="319"/>
      <c r="J185" s="482"/>
    </row>
    <row r="186" spans="2:10" x14ac:dyDescent="0.25">
      <c r="B186" s="483" t="str">
        <f t="shared" si="6"/>
        <v/>
      </c>
      <c r="D186" s="320"/>
      <c r="E186" s="320"/>
      <c r="F186" s="321"/>
      <c r="G186" s="320"/>
      <c r="H186" s="322"/>
      <c r="I186" s="319"/>
      <c r="J186" s="482"/>
    </row>
    <row r="187" spans="2:10" x14ac:dyDescent="0.25">
      <c r="B187" s="483" t="str">
        <f t="shared" si="6"/>
        <v/>
      </c>
      <c r="D187" s="320"/>
      <c r="E187" s="320"/>
      <c r="F187" s="321"/>
      <c r="G187" s="320"/>
      <c r="H187" s="322"/>
      <c r="I187" s="319"/>
      <c r="J187" s="482"/>
    </row>
    <row r="188" spans="2:10" x14ac:dyDescent="0.25">
      <c r="B188" s="483" t="str">
        <f t="shared" si="6"/>
        <v/>
      </c>
      <c r="D188" s="320"/>
      <c r="E188" s="320"/>
      <c r="F188" s="321"/>
      <c r="G188" s="320"/>
      <c r="H188" s="322"/>
      <c r="I188" s="319"/>
      <c r="J188" s="482"/>
    </row>
    <row r="189" spans="2:10" x14ac:dyDescent="0.25">
      <c r="B189" s="483" t="str">
        <f t="shared" si="6"/>
        <v/>
      </c>
      <c r="D189" s="320"/>
      <c r="E189" s="320"/>
      <c r="F189" s="321"/>
      <c r="G189" s="320"/>
      <c r="H189" s="322"/>
      <c r="I189" s="319"/>
      <c r="J189" s="482"/>
    </row>
    <row r="190" spans="2:10" x14ac:dyDescent="0.25">
      <c r="B190" s="483" t="str">
        <f t="shared" si="6"/>
        <v/>
      </c>
      <c r="D190" s="320"/>
      <c r="E190" s="320"/>
      <c r="F190" s="321"/>
      <c r="G190" s="320"/>
      <c r="H190" s="322"/>
      <c r="I190" s="319"/>
      <c r="J190" s="482"/>
    </row>
    <row r="191" spans="2:10" x14ac:dyDescent="0.25">
      <c r="B191" s="483" t="str">
        <f t="shared" si="6"/>
        <v/>
      </c>
      <c r="D191" s="320"/>
      <c r="E191" s="320"/>
      <c r="F191" s="321"/>
      <c r="G191" s="320"/>
      <c r="H191" s="322"/>
      <c r="I191" s="319"/>
      <c r="J191" s="482"/>
    </row>
    <row r="192" spans="2:10" x14ac:dyDescent="0.25">
      <c r="B192" s="483" t="str">
        <f t="shared" si="6"/>
        <v/>
      </c>
      <c r="D192" s="320"/>
      <c r="E192" s="320"/>
      <c r="F192" s="321"/>
      <c r="G192" s="320"/>
      <c r="H192" s="322"/>
      <c r="I192" s="319"/>
      <c r="J192" s="482"/>
    </row>
    <row r="193" spans="2:10" x14ac:dyDescent="0.25">
      <c r="B193" s="483" t="str">
        <f t="shared" si="6"/>
        <v/>
      </c>
      <c r="D193" s="320"/>
      <c r="E193" s="320"/>
      <c r="F193" s="321"/>
      <c r="G193" s="320"/>
      <c r="H193" s="322"/>
      <c r="I193" s="319"/>
      <c r="J193" s="482"/>
    </row>
    <row r="194" spans="2:10" x14ac:dyDescent="0.25">
      <c r="B194" s="483" t="str">
        <f t="shared" si="6"/>
        <v/>
      </c>
      <c r="D194" s="320"/>
      <c r="E194" s="320"/>
      <c r="F194" s="321"/>
      <c r="G194" s="320"/>
      <c r="H194" s="322"/>
      <c r="I194" s="319"/>
      <c r="J194" s="482"/>
    </row>
    <row r="195" spans="2:10" x14ac:dyDescent="0.25">
      <c r="B195" s="483" t="str">
        <f t="shared" si="6"/>
        <v/>
      </c>
      <c r="D195" s="320"/>
      <c r="E195" s="320"/>
      <c r="F195" s="321"/>
      <c r="G195" s="320"/>
      <c r="H195" s="322"/>
      <c r="I195" s="319"/>
      <c r="J195" s="482"/>
    </row>
    <row r="196" spans="2:10" x14ac:dyDescent="0.25">
      <c r="B196" s="483" t="str">
        <f t="shared" si="6"/>
        <v/>
      </c>
      <c r="D196" s="320"/>
      <c r="E196" s="320"/>
      <c r="F196" s="321"/>
      <c r="G196" s="320"/>
      <c r="H196" s="322"/>
      <c r="I196" s="319"/>
      <c r="J196" s="482"/>
    </row>
    <row r="197" spans="2:10" x14ac:dyDescent="0.25">
      <c r="B197" s="483" t="str">
        <f t="shared" si="6"/>
        <v/>
      </c>
      <c r="D197" s="320"/>
      <c r="E197" s="320"/>
      <c r="F197" s="321"/>
      <c r="G197" s="320"/>
      <c r="H197" s="322"/>
      <c r="I197" s="319"/>
      <c r="J197" s="482"/>
    </row>
    <row r="198" spans="2:10" x14ac:dyDescent="0.25">
      <c r="B198" s="483" t="str">
        <f t="shared" si="6"/>
        <v/>
      </c>
      <c r="D198" s="320"/>
      <c r="E198" s="320"/>
      <c r="F198" s="321"/>
      <c r="G198" s="320"/>
      <c r="H198" s="322"/>
      <c r="I198" s="319"/>
      <c r="J198" s="482"/>
    </row>
    <row r="199" spans="2:10" x14ac:dyDescent="0.25">
      <c r="B199" s="483" t="str">
        <f t="shared" si="6"/>
        <v/>
      </c>
      <c r="D199" s="320"/>
      <c r="E199" s="320"/>
      <c r="F199" s="321"/>
      <c r="G199" s="320"/>
      <c r="H199" s="322"/>
      <c r="I199" s="319"/>
      <c r="J199" s="482"/>
    </row>
    <row r="200" spans="2:10" x14ac:dyDescent="0.25">
      <c r="B200" s="483" t="str">
        <f t="shared" si="6"/>
        <v/>
      </c>
      <c r="D200" s="320"/>
      <c r="E200" s="320"/>
      <c r="F200" s="321"/>
      <c r="G200" s="320"/>
      <c r="H200" s="322"/>
      <c r="I200" s="319"/>
      <c r="J200" s="482"/>
    </row>
    <row r="201" spans="2:10" x14ac:dyDescent="0.25">
      <c r="D201" s="320"/>
      <c r="E201" s="320"/>
      <c r="F201" s="321"/>
      <c r="G201" s="320"/>
      <c r="H201" s="322"/>
      <c r="I201" s="319"/>
      <c r="J201" s="482"/>
    </row>
    <row r="202" spans="2:10" x14ac:dyDescent="0.25">
      <c r="D202" s="320"/>
      <c r="E202" s="320"/>
      <c r="F202" s="321"/>
      <c r="G202" s="320"/>
      <c r="H202" s="322"/>
      <c r="I202" s="319"/>
      <c r="J202" s="482"/>
    </row>
    <row r="203" spans="2:10" x14ac:dyDescent="0.25">
      <c r="D203" s="320"/>
      <c r="E203" s="320"/>
      <c r="F203" s="321"/>
      <c r="G203" s="320"/>
      <c r="H203" s="322"/>
      <c r="I203" s="319"/>
      <c r="J203" s="482"/>
    </row>
    <row r="204" spans="2:10" x14ac:dyDescent="0.25">
      <c r="D204" s="320"/>
      <c r="E204" s="320"/>
      <c r="F204" s="321"/>
      <c r="G204" s="320"/>
      <c r="H204" s="322"/>
      <c r="I204" s="319"/>
      <c r="J204" s="482"/>
    </row>
  </sheetData>
  <sheetProtection sheet="1" objects="1" scenarios="1" selectLockedCells="1"/>
  <mergeCells count="6">
    <mergeCell ref="A52:A60"/>
    <mergeCell ref="A29:A43"/>
    <mergeCell ref="L8:N8"/>
    <mergeCell ref="O8:Q8"/>
    <mergeCell ref="A10:A22"/>
    <mergeCell ref="A44:A51"/>
  </mergeCells>
  <pageMargins left="0.70866141732283472" right="0.70866141732283472" top="0.74803149606299213" bottom="0.74803149606299213" header="0.31496062992125984" footer="0.31496062992125984"/>
  <pageSetup scale="6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H14" sqref="H14"/>
    </sheetView>
  </sheetViews>
  <sheetFormatPr defaultRowHeight="15" x14ac:dyDescent="0.25"/>
  <sheetData>
    <row r="1" spans="1:3" x14ac:dyDescent="0.25">
      <c r="A1" t="s">
        <v>228</v>
      </c>
      <c r="B1" t="s">
        <v>229</v>
      </c>
    </row>
    <row r="2" spans="1:3" x14ac:dyDescent="0.25">
      <c r="A2">
        <v>1</v>
      </c>
      <c r="B2">
        <v>0</v>
      </c>
      <c r="C2" t="s">
        <v>230</v>
      </c>
    </row>
    <row r="3" spans="1:3" x14ac:dyDescent="0.25">
      <c r="A3">
        <v>1</v>
      </c>
      <c r="B3">
        <v>1</v>
      </c>
      <c r="C3" t="s">
        <v>231</v>
      </c>
    </row>
    <row r="4" spans="1:3" x14ac:dyDescent="0.25">
      <c r="A4">
        <v>1</v>
      </c>
      <c r="B4">
        <v>2</v>
      </c>
      <c r="C4" t="s">
        <v>248</v>
      </c>
    </row>
    <row r="5" spans="1:3" x14ac:dyDescent="0.25">
      <c r="A5">
        <v>1</v>
      </c>
      <c r="B5">
        <v>3</v>
      </c>
      <c r="C5" t="s">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Blend Calc (Historical Valu (2</vt:lpstr>
      <vt:lpstr>Blend Calc (Historical Value)</vt:lpstr>
      <vt:lpstr>Blend Calc (Manual)</vt:lpstr>
      <vt:lpstr>Moisture and Bulk Density</vt:lpstr>
      <vt:lpstr>Adding Water</vt:lpstr>
      <vt:lpstr>Conversions</vt:lpstr>
      <vt:lpstr>Literature CtoN</vt:lpstr>
      <vt:lpstr>Updates</vt:lpstr>
      <vt:lpstr>'Blend Calc (Historical Valu (2'!Print_Area</vt:lpstr>
      <vt:lpstr>'Blend Calc (Historical Value)'!Print_Area</vt:lpstr>
    </vt:vector>
  </TitlesOfParts>
  <Company>University of Manitoba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NCLE Tech</dc:creator>
  <cp:lastModifiedBy>NCLE Tech</cp:lastModifiedBy>
  <cp:lastPrinted>2015-10-14T14:54:30Z</cp:lastPrinted>
  <dcterms:created xsi:type="dcterms:W3CDTF">2012-02-01T15:56:05Z</dcterms:created>
  <dcterms:modified xsi:type="dcterms:W3CDTF">2016-09-29T13:14:38Z</dcterms:modified>
</cp:coreProperties>
</file>